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payment summary" sheetId="1" r:id="rId1"/>
  </sheets>
  <externalReferences>
    <externalReference r:id="rId4"/>
  </externalReferences>
  <definedNames>
    <definedName name="_Fill" hidden="1">#REF!</definedName>
    <definedName name="_xlnm.Print_Area" localSheetId="0">'payment summary'!#REF!</definedName>
  </definedNames>
  <calcPr fullCalcOnLoad="1"/>
</workbook>
</file>

<file path=xl/sharedStrings.xml><?xml version="1.0" encoding="utf-8"?>
<sst xmlns="http://schemas.openxmlformats.org/spreadsheetml/2006/main" count="195" uniqueCount="167">
  <si>
    <t>CHARTER SCHOOL DEBT RESERVE, INTERCEPT AND TREASURY FEE PAYMENTS</t>
  </si>
  <si>
    <t>CRS 22-30.5-406 AND 22-30.5-407</t>
  </si>
  <si>
    <t>Classical (#1627104004A)</t>
  </si>
  <si>
    <t>Debt Reserve</t>
  </si>
  <si>
    <t>Treasury Fee</t>
  </si>
  <si>
    <t>Intercept</t>
  </si>
  <si>
    <t>Total for Classical</t>
  </si>
  <si>
    <t>Pinnacle (#6950002004A)</t>
  </si>
  <si>
    <t>Total for Pinnacle</t>
  </si>
  <si>
    <t>Pioneer (#0145155004A)</t>
  </si>
  <si>
    <t>Total for Pioneer</t>
  </si>
  <si>
    <t>Total for Leadership Academy</t>
  </si>
  <si>
    <t>Liberty Common (#5120155004A)</t>
  </si>
  <si>
    <t>Total for Liberty Common</t>
  </si>
  <si>
    <t>Cheyenne Mountain (#1582102004A)</t>
  </si>
  <si>
    <t>Total for Cheyenne Mountain</t>
  </si>
  <si>
    <t>Total for Excel Academy</t>
  </si>
  <si>
    <t>Challenge to Excellence (#1512090004A)</t>
  </si>
  <si>
    <t>Total for Challenge to Excellence</t>
  </si>
  <si>
    <t>Montessori Peaks (#5994142004A)</t>
  </si>
  <si>
    <t>Total for Montessori Peaks</t>
  </si>
  <si>
    <t>Peak to Peak (#6816048004A)</t>
  </si>
  <si>
    <t>Total for Peak to Peak</t>
  </si>
  <si>
    <t>Collegiate Academy (#7701142004A)</t>
  </si>
  <si>
    <t>Total for Collegiate Academy</t>
  </si>
  <si>
    <t>Academy of Charter Schools (#0015002004A)</t>
  </si>
  <si>
    <t>Total for Academy of Charter Schools</t>
  </si>
  <si>
    <t>University Lab Charter School (#2850312005A)</t>
  </si>
  <si>
    <t>Total for University Lab Charter School</t>
  </si>
  <si>
    <t>James Irwin Charter High School (#4378098005A)</t>
  </si>
  <si>
    <t>Total for James Irwin Charter High School</t>
  </si>
  <si>
    <t>James Irwin Charter Middle School (#4378098005A)</t>
  </si>
  <si>
    <t>Total for James Irwin Charter Middle School</t>
  </si>
  <si>
    <t>Aurora Academy Charter School (#0458018005A)</t>
  </si>
  <si>
    <t>Total for Aurora Academy Charter School</t>
  </si>
  <si>
    <t>Platte River Academy Charter School (#7047090005A)</t>
  </si>
  <si>
    <t>Total for Platte River Academy Charter School</t>
  </si>
  <si>
    <t>Total for Elbert County Charter School</t>
  </si>
  <si>
    <t>Woodrow Wilson Charter School (#9427142005A)</t>
  </si>
  <si>
    <t>Total for Woodrow Wilson Charter School</t>
  </si>
  <si>
    <t>Total for Bromley East Charter School</t>
  </si>
  <si>
    <t>Summary</t>
  </si>
  <si>
    <t>Debt Reserve  (804 WBA)</t>
  </si>
  <si>
    <t>Treasury Fee  (17F WBA)</t>
  </si>
  <si>
    <t>Intercept  (941 WBA)</t>
  </si>
  <si>
    <r>
      <t>Total for all payments</t>
    </r>
    <r>
      <rPr>
        <sz val="10"/>
        <rFont val="Arial"/>
        <family val="2"/>
      </rPr>
      <t xml:space="preserve">  (113 DAA)</t>
    </r>
  </si>
  <si>
    <t>Bromley East Charter School (#1052004005A)</t>
  </si>
  <si>
    <t>Lincoln Academy Charter School (#5145142005A)</t>
  </si>
  <si>
    <t>Total for Lincoln Academy Charter School</t>
  </si>
  <si>
    <t>Excel Academy Charter School (#2799142005A)</t>
  </si>
  <si>
    <t>Total for Excel Academy Charter School</t>
  </si>
  <si>
    <t>Ridgeview Charter School (#0146155005A)</t>
  </si>
  <si>
    <t>Total for Ridgeview Charter School</t>
  </si>
  <si>
    <t>Knowledge Quest Academy (#4785311006A)</t>
  </si>
  <si>
    <t>Total for Knowledge Quest Academy</t>
  </si>
  <si>
    <t>Stargate Charter School (#1519002006A)</t>
  </si>
  <si>
    <t>Total for Stargate Charter School</t>
  </si>
  <si>
    <t>Total for Northern Colorado Academy of Arts</t>
  </si>
  <si>
    <t>Leadership Academy (#5033099004A)</t>
  </si>
  <si>
    <t>Northern Colorado Academy of Arts (#0657999907A)</t>
  </si>
  <si>
    <t>Colorado State Charter School Institute School</t>
  </si>
  <si>
    <t>Academy Charter School (#0011090007A)</t>
  </si>
  <si>
    <t>Total for Academy Charter School</t>
  </si>
  <si>
    <t>Cheyenne Mountain Charter School (#1582102007A)</t>
  </si>
  <si>
    <t>Total for Cheyenne Mountain Charter School</t>
  </si>
  <si>
    <t>Advance refunded</t>
  </si>
  <si>
    <t>Frontier Academy (#1875312007A)</t>
  </si>
  <si>
    <t>Total for Frontier Academy</t>
  </si>
  <si>
    <t>Banning Lewis Ranch Academy (#0555111007A)</t>
  </si>
  <si>
    <t>Total for Banning Lewis Ranch Academy</t>
  </si>
  <si>
    <t>Stargate School (#1519002007A)</t>
  </si>
  <si>
    <t>Total for Stargate School</t>
  </si>
  <si>
    <t>Total for Brighton Charter School</t>
  </si>
  <si>
    <t>Montessori Peaks (#5994142007A)</t>
  </si>
  <si>
    <t>Carbon Valley Academy (#1284047007A)</t>
  </si>
  <si>
    <t>Total for Carbon Valley Academy</t>
  </si>
  <si>
    <t>Littleton Academy Charter School (#5229014007A)</t>
  </si>
  <si>
    <t>Total for Littleton Academy Charter School</t>
  </si>
  <si>
    <t>Union Colony Charter School (#8965312007A)</t>
  </si>
  <si>
    <t>Total for Union Colony Charter School</t>
  </si>
  <si>
    <t>Cesar Chavez Academy (#1488269007A)</t>
  </si>
  <si>
    <t>Total for Cesar Chavez Academy</t>
  </si>
  <si>
    <t>Belle Creek Charter School (#0700004008A)</t>
  </si>
  <si>
    <t>Total for Belle Creek Charter School</t>
  </si>
  <si>
    <t>James Irwin Charter High School (#4378098008A)</t>
  </si>
  <si>
    <t>James Irwin Charter Middle School (#4379098008A)</t>
  </si>
  <si>
    <t>James Irwin Charter Elementary School (#4380098008A)</t>
  </si>
  <si>
    <t>Total for James Irwin Charter Elementary School</t>
  </si>
  <si>
    <t>SD revoked charter / Charter closed</t>
  </si>
  <si>
    <t>Northeast Academy Charter School (#6394088008A)</t>
  </si>
  <si>
    <t>Total for Northeast Academy Charter School</t>
  </si>
  <si>
    <t>Excel Academy (#2799142004A)</t>
  </si>
  <si>
    <t>Windsor Charter Academy (#9665310008A)</t>
  </si>
  <si>
    <t>Total for Windsor Charter Academy</t>
  </si>
  <si>
    <t>James Madison Charter Academy (#5033099008A)</t>
  </si>
  <si>
    <t>Total for James Madison Charter Academy</t>
  </si>
  <si>
    <t>Challenge to Excellence Charter School (#1512090008A)</t>
  </si>
  <si>
    <t>Total for Challenge to Excellence Charter School</t>
  </si>
  <si>
    <t>Total for 21st Century Charter School at Colorado Springs</t>
  </si>
  <si>
    <t>Monument Academy (#5093108008A)</t>
  </si>
  <si>
    <t>Total for Monument Academy</t>
  </si>
  <si>
    <t>Challenges, Choices and Images (#1606088008A)</t>
  </si>
  <si>
    <t>Total for Challenges, Choices and Images</t>
  </si>
  <si>
    <t>Cheyenne Mountain Charter Academy (#1582102008A)</t>
  </si>
  <si>
    <t>Total for Cheyenne Mountain Charter Academy</t>
  </si>
  <si>
    <t>Community Leadership Academy (#1882003008A)</t>
  </si>
  <si>
    <t>Total for Community Leadership Academy</t>
  </si>
  <si>
    <t>***</t>
  </si>
  <si>
    <t>*</t>
  </si>
  <si>
    <t>**</t>
  </si>
  <si>
    <t>32A</t>
  </si>
  <si>
    <t>32B</t>
  </si>
  <si>
    <t>32C</t>
  </si>
  <si>
    <t>New Vision Charter School (#6220156008A)</t>
  </si>
  <si>
    <t>Total for New Vision Charter School</t>
  </si>
  <si>
    <t>Rocky Mountain Academy of Evergreen (#7462142009A)</t>
  </si>
  <si>
    <t>Total for Rocky Mountain Academy of Evergreen</t>
  </si>
  <si>
    <t>Pikes Peak School of Expeditionary Learning (#6935111009A)</t>
  </si>
  <si>
    <t>Total for Pikes Peak of Expeditionary Learning</t>
  </si>
  <si>
    <t>Flagstaff Academy Charter School (#2964047009A)</t>
  </si>
  <si>
    <t>Total for Flagstaff Academy Charter School</t>
  </si>
  <si>
    <t>Academy of Charter Schools (#0015002009A)</t>
  </si>
  <si>
    <t>American Academy (#0215090009A)</t>
  </si>
  <si>
    <t>Total for American Academy</t>
  </si>
  <si>
    <t>North Star Academy (#1579090009A)</t>
  </si>
  <si>
    <t>Total for North Star Academy</t>
  </si>
  <si>
    <t>Twin Peaks Charter Academy (#8927047009A)</t>
  </si>
  <si>
    <t>Total for Twin Peaks Charter Academy</t>
  </si>
  <si>
    <t>The Classical Academy (#1627104009A)</t>
  </si>
  <si>
    <t>Total for The Classical Academy</t>
  </si>
  <si>
    <t>Monument Academy (#5093108009A)</t>
  </si>
  <si>
    <t>Total for Cesar Chavez Academy Denver</t>
  </si>
  <si>
    <t>Cesar Chavez Academy Denver (previously DATA) (#2182088004A)</t>
  </si>
  <si>
    <t>Crown Pointe Academy (#2035007010A)</t>
  </si>
  <si>
    <t>Total for Crown Pointe Academy</t>
  </si>
  <si>
    <t>Pinnacle Charter School (#6914999910A)</t>
  </si>
  <si>
    <t>Total for Pinnacle Charter School</t>
  </si>
  <si>
    <t>High Point Academy (#0655999910A)</t>
  </si>
  <si>
    <t>Total for High Point Academy</t>
  </si>
  <si>
    <t>21st Century Charter School at Colorado Springs (#8929999908A)</t>
  </si>
  <si>
    <t>Colorado Springs Charter Academy (#1791999910A)</t>
  </si>
  <si>
    <t>Total for Colorado Springs Charter Academy</t>
  </si>
  <si>
    <t>Eagle Ridge Academy (previously Brighton Charter School) (#1027004007A)</t>
  </si>
  <si>
    <t>Free Horizon Montessori (#3201142011A)</t>
  </si>
  <si>
    <t>Total for Free Horizon Montessori</t>
  </si>
  <si>
    <t>Parker Core Knowledge (#1873090004A)</t>
  </si>
  <si>
    <t>Total for Parker Core Knowledge</t>
  </si>
  <si>
    <t>Parker Core Knowledge (#1873090011A)</t>
  </si>
  <si>
    <t>Academy of Charter Schools (The Academy) (#0015002011A)</t>
  </si>
  <si>
    <t>Total for The Academy</t>
  </si>
  <si>
    <t>Caprock Academy (#1279999911A)</t>
  </si>
  <si>
    <t>Total for Caprock Academy</t>
  </si>
  <si>
    <t>Highline Academy Charter School (#3987088011A)</t>
  </si>
  <si>
    <t>Total for Highline Academy Charter School</t>
  </si>
  <si>
    <t>Global Village Academy (#3471018011A)</t>
  </si>
  <si>
    <t>Total for Global Village Academy</t>
  </si>
  <si>
    <t>Rocky Mountain Academy of Evergreen (#7462142011A)</t>
  </si>
  <si>
    <t>Twin Peaks Charter Academy (#8927047011A)</t>
  </si>
  <si>
    <t>Legacy Academy (previously Elbert County Charter School) (#2572092005A)</t>
  </si>
  <si>
    <t>Liberty Common Charter School (#5120155012A)</t>
  </si>
  <si>
    <t>Total for Liberty Common Charter School</t>
  </si>
  <si>
    <t>Union Colony Charter School (#8965312012A)</t>
  </si>
  <si>
    <t>Cherry Creek Academy Inc. (#1571013012A)</t>
  </si>
  <si>
    <t>Total for Cherry Creek Academy Inc.</t>
  </si>
  <si>
    <t>Jefferson Academy (#4402142012A)</t>
  </si>
  <si>
    <t>Total for Jefferson Academy</t>
  </si>
  <si>
    <t>Total FY 12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</si>
</sst>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ddd\,\ mmmm\ dd\,\ yyyy"/>
    <numFmt numFmtId="166" formatCode="dd\-mmm\-yy_)"/>
    <numFmt numFmtId="167" formatCode="hh:mm\ AM/PM_)"/>
    <numFmt numFmtId="168" formatCode="mm/dd/yy_)"/>
    <numFmt numFmtId="169" formatCode="0.000%"/>
    <numFmt numFmtId="170" formatCode="0.00_)"/>
    <numFmt numFmtId="171" formatCode="0.000_)"/>
    <numFmt numFmtId="172" formatCode="0.0000_)"/>
    <numFmt numFmtId="173" formatCode="0.0000%"/>
    <numFmt numFmtId="174" formatCode="General_)"/>
    <numFmt numFmtId="175" formatCode="0.00000%"/>
    <numFmt numFmtId="176" formatCode="0.000000%"/>
    <numFmt numFmtId="177" formatCode="0.0000000%"/>
    <numFmt numFmtId="178" formatCode="&quot;$&quot;#,##0.0_);\(&quot;$&quot;#,##0.0\)"/>
    <numFmt numFmtId="179" formatCode="mm/dd/yy"/>
    <numFmt numFmtId="180" formatCode="#,##0.0_);\(#,##0.0\)"/>
    <numFmt numFmtId="181" formatCode="#,##0.000_);\(#,##0.000\)"/>
    <numFmt numFmtId="182" formatCode="#,##0.0000_);\(#,##0.0000\)"/>
    <numFmt numFmtId="183" formatCode="#,##0.00000_);\(#,##0.00000\)"/>
    <numFmt numFmtId="184" formatCode="#,##0.000000_);\(#,##0.000000\)"/>
    <numFmt numFmtId="185" formatCode="#,##0.0000000_);\(#,##0.0000000\)"/>
    <numFmt numFmtId="186" formatCode="#,##0.00000000_);\(#,##0.00000000\)"/>
    <numFmt numFmtId="187" formatCode="#,##0.000000000_);\(#,##0.000000000\)"/>
    <numFmt numFmtId="188" formatCode="#,##0.0000000000_);\(#,##0.0000000000\)"/>
    <numFmt numFmtId="189" formatCode="&quot;$&quot;#,##0.000_);\(&quot;$&quot;#,##0.000\)"/>
    <numFmt numFmtId="190" formatCode="&quot;$&quot;#,##0.0000_);\(&quot;$&quot;#,##0.0000\)"/>
    <numFmt numFmtId="191" formatCode="&quot;$&quot;#,##0.00000_);\(&quot;$&quot;#,##0.00000\)"/>
    <numFmt numFmtId="192" formatCode="0_);\(0\)"/>
    <numFmt numFmtId="193" formatCode="&quot;DSRF Fee @&quot;#,##0.0&quot; b pts&quot;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_(* #,##0.0_);_(* \(#,##0.0\);_(* &quot;-&quot;??_);_(@_)"/>
    <numFmt numFmtId="199" formatCode="_(* #,##0_);_(* \(#,##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&lt;=9999999]###\-####;\(###\)\ ###\-####"/>
    <numFmt numFmtId="205" formatCode="m/d/yy;@"/>
    <numFmt numFmtId="206" formatCode="mm/dd/yy;@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2" fillId="0" borderId="0" xfId="0" applyNumberFormat="1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 wrapText="1"/>
    </xf>
    <xf numFmtId="43" fontId="0" fillId="0" borderId="0" xfId="0" applyNumberForma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43" fontId="3" fillId="33" borderId="0" xfId="0" applyNumberFormat="1" applyFont="1" applyFill="1" applyBorder="1" applyAlignment="1">
      <alignment/>
    </xf>
    <xf numFmtId="0" fontId="6" fillId="34" borderId="0" xfId="0" applyFont="1" applyFill="1" applyAlignment="1">
      <alignment horizontal="right"/>
    </xf>
    <xf numFmtId="43" fontId="3" fillId="34" borderId="0" xfId="0" applyNumberFormat="1" applyFont="1" applyFill="1" applyBorder="1" applyAlignment="1">
      <alignment/>
    </xf>
    <xf numFmtId="0" fontId="6" fillId="35" borderId="0" xfId="0" applyFont="1" applyFill="1" applyAlignment="1">
      <alignment horizontal="right"/>
    </xf>
    <xf numFmtId="43" fontId="3" fillId="35" borderId="0" xfId="0" applyNumberFormat="1" applyFont="1" applyFill="1" applyBorder="1" applyAlignment="1">
      <alignment/>
    </xf>
    <xf numFmtId="43" fontId="3" fillId="35" borderId="0" xfId="0" applyNumberFormat="1" applyFont="1" applyFill="1" applyBorder="1" applyAlignment="1" quotePrefix="1">
      <alignment horizontal="left"/>
    </xf>
    <xf numFmtId="43" fontId="1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 quotePrefix="1">
      <alignment horizontal="left"/>
    </xf>
    <xf numFmtId="43" fontId="1" fillId="0" borderId="10" xfId="0" applyNumberFormat="1" applyFont="1" applyFill="1" applyBorder="1" applyAlignment="1" quotePrefix="1">
      <alignment horizontal="center"/>
    </xf>
    <xf numFmtId="43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6" fillId="33" borderId="0" xfId="0" applyFont="1" applyFill="1" applyAlignment="1">
      <alignment horizontal="right" vertical="center"/>
    </xf>
    <xf numFmtId="43" fontId="3" fillId="33" borderId="0" xfId="0" applyNumberFormat="1" applyFont="1" applyFill="1" applyBorder="1" applyAlignment="1" quotePrefix="1">
      <alignment horizontal="left"/>
    </xf>
    <xf numFmtId="0" fontId="6" fillId="0" borderId="0" xfId="0" applyFont="1" applyFill="1" applyAlignment="1">
      <alignment horizontal="right"/>
    </xf>
    <xf numFmtId="0" fontId="6" fillId="34" borderId="0" xfId="0" applyFont="1" applyFill="1" applyAlignment="1">
      <alignment horizontal="right" vertical="center"/>
    </xf>
    <xf numFmtId="43" fontId="3" fillId="34" borderId="0" xfId="0" applyNumberFormat="1" applyFont="1" applyFill="1" applyBorder="1" applyAlignment="1" quotePrefix="1">
      <alignment horizontal="left"/>
    </xf>
    <xf numFmtId="43" fontId="3" fillId="36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center"/>
    </xf>
    <xf numFmtId="43" fontId="1" fillId="0" borderId="0" xfId="0" applyNumberFormat="1" applyFont="1" applyFill="1" applyBorder="1" applyAlignment="1">
      <alignment/>
    </xf>
    <xf numFmtId="43" fontId="1" fillId="34" borderId="0" xfId="0" applyNumberFormat="1" applyFont="1" applyFill="1" applyBorder="1" applyAlignment="1" quotePrefix="1">
      <alignment horizontal="left"/>
    </xf>
    <xf numFmtId="43" fontId="1" fillId="35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1" fillId="0" borderId="11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0" fontId="0" fillId="37" borderId="0" xfId="0" applyFill="1" applyAlignment="1">
      <alignment/>
    </xf>
    <xf numFmtId="164" fontId="3" fillId="37" borderId="0" xfId="0" applyNumberFormat="1" applyFont="1" applyFill="1" applyBorder="1" applyAlignment="1">
      <alignment/>
    </xf>
    <xf numFmtId="39" fontId="0" fillId="37" borderId="0" xfId="0" applyNumberFormat="1" applyFill="1" applyBorder="1" applyAlignment="1">
      <alignment/>
    </xf>
    <xf numFmtId="39" fontId="1" fillId="37" borderId="11" xfId="0" applyNumberFormat="1" applyFont="1" applyFill="1" applyBorder="1" applyAlignment="1">
      <alignment/>
    </xf>
    <xf numFmtId="39" fontId="3" fillId="37" borderId="0" xfId="0" applyNumberFormat="1" applyFont="1" applyFill="1" applyBorder="1" applyAlignment="1">
      <alignment/>
    </xf>
    <xf numFmtId="39" fontId="1" fillId="37" borderId="0" xfId="0" applyNumberFormat="1" applyFont="1" applyFill="1" applyBorder="1" applyAlignment="1">
      <alignment/>
    </xf>
    <xf numFmtId="43" fontId="0" fillId="0" borderId="0" xfId="42" applyFont="1" applyAlignment="1">
      <alignment/>
    </xf>
    <xf numFmtId="44" fontId="3" fillId="0" borderId="0" xfId="0" applyNumberFormat="1" applyFont="1" applyFill="1" applyBorder="1" applyAlignment="1" quotePrefix="1">
      <alignment horizontal="right" wrapText="1"/>
    </xf>
    <xf numFmtId="39" fontId="1" fillId="0" borderId="12" xfId="0" applyNumberFormat="1" applyFont="1" applyFill="1" applyBorder="1" applyAlignment="1">
      <alignment/>
    </xf>
    <xf numFmtId="43" fontId="0" fillId="37" borderId="0" xfId="42" applyFont="1" applyFill="1" applyBorder="1" applyAlignment="1">
      <alignment/>
    </xf>
    <xf numFmtId="43" fontId="0" fillId="37" borderId="0" xfId="42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LC\PSFA12\CHARTER%20SCHOOLS%20DEB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eement numbers"/>
      <sheetName val="agreement numbers-institute"/>
      <sheetName val="school summary"/>
      <sheetName val="contacts"/>
      <sheetName val="bond issuances"/>
      <sheetName val="DebtRes"/>
      <sheetName val="payment summary"/>
      <sheetName val="info for cashiers"/>
      <sheetName val="MoralO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28"/>
  <sheetViews>
    <sheetView tabSelected="1" zoomScale="75" zoomScaleNormal="75" zoomScalePageLayoutView="0" workbookViewId="0" topLeftCell="A1">
      <pane xSplit="3" ySplit="2" topLeftCell="AP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R2" sqref="AR2"/>
    </sheetView>
  </sheetViews>
  <sheetFormatPr defaultColWidth="9.140625" defaultRowHeight="12.75"/>
  <cols>
    <col min="1" max="1" width="5.421875" style="1" bestFit="1" customWidth="1"/>
    <col min="2" max="2" width="3.57421875" style="1" bestFit="1" customWidth="1"/>
    <col min="3" max="3" width="108.00390625" style="0" bestFit="1" customWidth="1"/>
    <col min="4" max="4" width="18.421875" style="0" bestFit="1" customWidth="1"/>
    <col min="5" max="5" width="17.7109375" style="0" bestFit="1" customWidth="1"/>
    <col min="6" max="6" width="17.28125" style="0" bestFit="1" customWidth="1"/>
    <col min="7" max="8" width="18.28125" style="0" bestFit="1" customWidth="1"/>
    <col min="9" max="10" width="16.00390625" style="0" bestFit="1" customWidth="1"/>
    <col min="11" max="11" width="18.421875" style="0" bestFit="1" customWidth="1"/>
    <col min="12" max="12" width="17.7109375" style="0" bestFit="1" customWidth="1"/>
    <col min="13" max="13" width="17.28125" style="0" bestFit="1" customWidth="1"/>
    <col min="14" max="14" width="18.28125" style="0" bestFit="1" customWidth="1"/>
    <col min="15" max="15" width="18.421875" style="0" bestFit="1" customWidth="1"/>
    <col min="16" max="16" width="17.7109375" style="0" bestFit="1" customWidth="1"/>
    <col min="17" max="17" width="17.28125" style="0" bestFit="1" customWidth="1"/>
    <col min="18" max="19" width="18.28125" style="0" bestFit="1" customWidth="1"/>
    <col min="20" max="24" width="16.00390625" style="0" bestFit="1" customWidth="1"/>
    <col min="25" max="25" width="18.421875" style="0" bestFit="1" customWidth="1"/>
    <col min="26" max="26" width="17.7109375" style="0" bestFit="1" customWidth="1"/>
    <col min="27" max="27" width="17.28125" style="0" bestFit="1" customWidth="1"/>
    <col min="28" max="29" width="18.28125" style="0" bestFit="1" customWidth="1"/>
    <col min="30" max="43" width="16.00390625" style="0" bestFit="1" customWidth="1"/>
    <col min="44" max="44" width="16.00390625" style="36" bestFit="1" customWidth="1"/>
    <col min="45" max="45" width="17.421875" style="0" bestFit="1" customWidth="1"/>
  </cols>
  <sheetData>
    <row r="1" ht="37.5">
      <c r="C1" s="2" t="s">
        <v>0</v>
      </c>
    </row>
    <row r="2" spans="3:45" ht="15.75">
      <c r="C2" s="3" t="s">
        <v>1</v>
      </c>
      <c r="AG2" s="31">
        <v>40725</v>
      </c>
      <c r="AH2" s="31">
        <v>40756</v>
      </c>
      <c r="AI2" s="31">
        <v>40787</v>
      </c>
      <c r="AJ2" s="31">
        <v>40817</v>
      </c>
      <c r="AK2" s="31">
        <v>40848</v>
      </c>
      <c r="AL2" s="31">
        <v>40878</v>
      </c>
      <c r="AM2" s="31">
        <v>40909</v>
      </c>
      <c r="AN2" s="31">
        <v>40940</v>
      </c>
      <c r="AO2" s="31">
        <v>40969</v>
      </c>
      <c r="AP2" s="31">
        <v>41000</v>
      </c>
      <c r="AQ2" s="31">
        <v>41030</v>
      </c>
      <c r="AR2" s="37">
        <v>41061</v>
      </c>
      <c r="AS2" s="43" t="s">
        <v>166</v>
      </c>
    </row>
    <row r="3" ht="12.75">
      <c r="C3" s="4"/>
    </row>
    <row r="4" spans="1:3" ht="15.75">
      <c r="A4" s="1">
        <v>1</v>
      </c>
      <c r="C4" s="5" t="s">
        <v>2</v>
      </c>
    </row>
    <row r="5" spans="3:45" ht="12.75">
      <c r="C5" s="4" t="s">
        <v>3</v>
      </c>
      <c r="AG5" s="32">
        <v>2984.58</v>
      </c>
      <c r="AH5" s="32">
        <v>2984.58</v>
      </c>
      <c r="AI5" s="32">
        <v>2984.58</v>
      </c>
      <c r="AJ5" s="32">
        <v>2911.67</v>
      </c>
      <c r="AK5" s="32">
        <v>2911.67</v>
      </c>
      <c r="AL5" s="32">
        <v>2911.67</v>
      </c>
      <c r="AM5" s="32">
        <v>2911.67</v>
      </c>
      <c r="AN5" s="32">
        <v>2911.67</v>
      </c>
      <c r="AO5" s="32">
        <v>2911.67</v>
      </c>
      <c r="AP5" s="32">
        <v>2911.67</v>
      </c>
      <c r="AQ5" s="32">
        <v>2911.67</v>
      </c>
      <c r="AR5" s="38">
        <v>2911.67</v>
      </c>
      <c r="AS5" s="32">
        <f>SUM(AG5:AR5)</f>
        <v>35158.76999999999</v>
      </c>
    </row>
    <row r="6" spans="3:45" ht="12.75">
      <c r="C6" s="4" t="s">
        <v>4</v>
      </c>
      <c r="AG6" s="42">
        <v>250</v>
      </c>
      <c r="AS6" s="32">
        <f>SUM(AG6:AR6)</f>
        <v>250</v>
      </c>
    </row>
    <row r="7" spans="3:45" ht="13.5" thickBot="1">
      <c r="C7" s="4" t="s">
        <v>5</v>
      </c>
      <c r="AG7" s="32">
        <f>75000+140032.29</f>
        <v>215032.29</v>
      </c>
      <c r="AH7" s="32">
        <f>75000+140032.29</f>
        <v>215032.29</v>
      </c>
      <c r="AI7" s="32">
        <f>75000+140032.29</f>
        <v>215032.29</v>
      </c>
      <c r="AJ7" s="32">
        <f>75000+140032.29</f>
        <v>215032.29</v>
      </c>
      <c r="AK7" s="32">
        <f>75000+140032.29</f>
        <v>215032.29</v>
      </c>
      <c r="AL7" s="32">
        <f>77500+137501.04</f>
        <v>215001.04</v>
      </c>
      <c r="AM7" s="32">
        <f aca="true" t="shared" si="0" ref="AM7:AR7">77500+137501.04</f>
        <v>215001.04</v>
      </c>
      <c r="AN7" s="32">
        <f t="shared" si="0"/>
        <v>215001.04</v>
      </c>
      <c r="AO7" s="32">
        <f t="shared" si="0"/>
        <v>215001.04</v>
      </c>
      <c r="AP7" s="32">
        <f t="shared" si="0"/>
        <v>215001.04</v>
      </c>
      <c r="AQ7" s="32">
        <f t="shared" si="0"/>
        <v>215001.04</v>
      </c>
      <c r="AR7" s="38">
        <f t="shared" si="0"/>
        <v>215001.04</v>
      </c>
      <c r="AS7" s="32">
        <f>SUM(AG7:AR7)</f>
        <v>2580168.73</v>
      </c>
    </row>
    <row r="8" spans="3:45" ht="13.5" thickBot="1">
      <c r="C8" s="6" t="s">
        <v>6</v>
      </c>
      <c r="AG8" s="33">
        <f aca="true" t="shared" si="1" ref="AG8:AS8">SUM(AG5:AG7)</f>
        <v>218266.87</v>
      </c>
      <c r="AH8" s="33">
        <f t="shared" si="1"/>
        <v>218016.87</v>
      </c>
      <c r="AI8" s="33">
        <f t="shared" si="1"/>
        <v>218016.87</v>
      </c>
      <c r="AJ8" s="33">
        <f t="shared" si="1"/>
        <v>217943.96000000002</v>
      </c>
      <c r="AK8" s="33">
        <f t="shared" si="1"/>
        <v>217943.96000000002</v>
      </c>
      <c r="AL8" s="33">
        <f t="shared" si="1"/>
        <v>217912.71000000002</v>
      </c>
      <c r="AM8" s="33">
        <f t="shared" si="1"/>
        <v>217912.71000000002</v>
      </c>
      <c r="AN8" s="33">
        <f t="shared" si="1"/>
        <v>217912.71000000002</v>
      </c>
      <c r="AO8" s="33">
        <f t="shared" si="1"/>
        <v>217912.71000000002</v>
      </c>
      <c r="AP8" s="33">
        <f t="shared" si="1"/>
        <v>217912.71000000002</v>
      </c>
      <c r="AQ8" s="33">
        <f t="shared" si="1"/>
        <v>217912.71000000002</v>
      </c>
      <c r="AR8" s="39">
        <f t="shared" si="1"/>
        <v>217912.71000000002</v>
      </c>
      <c r="AS8" s="44">
        <f t="shared" si="1"/>
        <v>2615577.5</v>
      </c>
    </row>
    <row r="9" ht="12.75">
      <c r="C9" s="4"/>
    </row>
    <row r="10" spans="1:3" ht="21">
      <c r="A10" s="1">
        <f>A4+1</f>
        <v>2</v>
      </c>
      <c r="B10" s="7" t="s">
        <v>107</v>
      </c>
      <c r="C10" s="8" t="s">
        <v>7</v>
      </c>
    </row>
    <row r="11" spans="3:45" ht="12.75">
      <c r="C11" s="4" t="str">
        <f>C5</f>
        <v>Debt Reserve</v>
      </c>
      <c r="AG11" s="32">
        <v>1662.5</v>
      </c>
      <c r="AH11" s="32">
        <v>1662.5</v>
      </c>
      <c r="AI11" s="32">
        <v>1662.5</v>
      </c>
      <c r="AJ11" s="32">
        <v>1619.58</v>
      </c>
      <c r="AK11" s="32">
        <v>1619.58</v>
      </c>
      <c r="AL11" s="32">
        <v>1619.58</v>
      </c>
      <c r="AM11" s="32">
        <v>1619.58</v>
      </c>
      <c r="AN11" s="32">
        <v>1619.58</v>
      </c>
      <c r="AO11" s="32">
        <v>1619.58</v>
      </c>
      <c r="AP11" s="32">
        <v>1619.58</v>
      </c>
      <c r="AQ11" s="32">
        <v>1619.58</v>
      </c>
      <c r="AR11" s="38">
        <v>1619.58</v>
      </c>
      <c r="AS11" s="32">
        <f>SUM(AG11:AR11)</f>
        <v>19563.72</v>
      </c>
    </row>
    <row r="12" spans="3:45" ht="12.75">
      <c r="C12" s="4" t="str">
        <f>C6</f>
        <v>Treasury Fee</v>
      </c>
      <c r="AG12" s="42">
        <v>250</v>
      </c>
      <c r="AS12" s="32">
        <f>SUM(AG12:AR12)</f>
        <v>250</v>
      </c>
    </row>
    <row r="13" spans="3:45" ht="13.5" thickBot="1">
      <c r="C13" s="4" t="str">
        <f>C7</f>
        <v>Intercept</v>
      </c>
      <c r="AG13" s="32">
        <f aca="true" t="shared" si="2" ref="AG13:AQ13">44166.67+78494.38</f>
        <v>122661.05</v>
      </c>
      <c r="AH13" s="32">
        <f t="shared" si="2"/>
        <v>122661.05</v>
      </c>
      <c r="AI13" s="32">
        <f t="shared" si="2"/>
        <v>122661.05</v>
      </c>
      <c r="AJ13" s="32">
        <f t="shared" si="2"/>
        <v>122661.05</v>
      </c>
      <c r="AK13" s="32">
        <f t="shared" si="2"/>
        <v>122661.05</v>
      </c>
      <c r="AL13" s="32">
        <f t="shared" si="2"/>
        <v>122661.05</v>
      </c>
      <c r="AM13" s="32">
        <f t="shared" si="2"/>
        <v>122661.05</v>
      </c>
      <c r="AN13" s="32">
        <f t="shared" si="2"/>
        <v>122661.05</v>
      </c>
      <c r="AO13" s="32">
        <f t="shared" si="2"/>
        <v>122661.05</v>
      </c>
      <c r="AP13" s="32">
        <f t="shared" si="2"/>
        <v>122661.05</v>
      </c>
      <c r="AQ13" s="32">
        <f t="shared" si="2"/>
        <v>122661.05</v>
      </c>
      <c r="AR13" s="38">
        <f>45833.33+76727.71</f>
        <v>122561.04000000001</v>
      </c>
      <c r="AS13" s="32">
        <f>SUM(AG13:AR13)</f>
        <v>1471832.5900000003</v>
      </c>
    </row>
    <row r="14" spans="3:45" ht="13.5" thickBot="1">
      <c r="C14" s="6" t="s">
        <v>8</v>
      </c>
      <c r="AG14" s="33">
        <f aca="true" t="shared" si="3" ref="AG14:AS14">SUM(AG11:AG13)</f>
        <v>124573.55</v>
      </c>
      <c r="AH14" s="33">
        <f t="shared" si="3"/>
        <v>124323.55</v>
      </c>
      <c r="AI14" s="33">
        <f t="shared" si="3"/>
        <v>124323.55</v>
      </c>
      <c r="AJ14" s="33">
        <f t="shared" si="3"/>
        <v>124280.63</v>
      </c>
      <c r="AK14" s="33">
        <f t="shared" si="3"/>
        <v>124280.63</v>
      </c>
      <c r="AL14" s="33">
        <f t="shared" si="3"/>
        <v>124280.63</v>
      </c>
      <c r="AM14" s="33">
        <f t="shared" si="3"/>
        <v>124280.63</v>
      </c>
      <c r="AN14" s="33">
        <f t="shared" si="3"/>
        <v>124280.63</v>
      </c>
      <c r="AO14" s="33">
        <f t="shared" si="3"/>
        <v>124280.63</v>
      </c>
      <c r="AP14" s="33">
        <f t="shared" si="3"/>
        <v>124280.63</v>
      </c>
      <c r="AQ14" s="33">
        <f t="shared" si="3"/>
        <v>124280.63</v>
      </c>
      <c r="AR14" s="39">
        <f t="shared" si="3"/>
        <v>124180.62000000001</v>
      </c>
      <c r="AS14" s="44">
        <f t="shared" si="3"/>
        <v>1491646.3100000003</v>
      </c>
    </row>
    <row r="15" ht="12.75">
      <c r="C15" s="4"/>
    </row>
    <row r="16" spans="2:3" ht="21">
      <c r="B16" s="9" t="s">
        <v>108</v>
      </c>
      <c r="C16" s="10" t="s">
        <v>9</v>
      </c>
    </row>
    <row r="17" ht="12.75">
      <c r="C17" s="4" t="str">
        <f>C11</f>
        <v>Debt Reserve</v>
      </c>
    </row>
    <row r="18" ht="12.75">
      <c r="C18" s="4" t="str">
        <f>C12</f>
        <v>Treasury Fee</v>
      </c>
    </row>
    <row r="19" ht="13.5" thickBot="1">
      <c r="C19" s="4" t="str">
        <f>C13</f>
        <v>Intercept</v>
      </c>
    </row>
    <row r="20" ht="13.5" thickBot="1">
      <c r="C20" s="6" t="s">
        <v>10</v>
      </c>
    </row>
    <row r="21" ht="12.75">
      <c r="C21" s="4"/>
    </row>
    <row r="22" spans="2:3" ht="21">
      <c r="B22" s="9" t="s">
        <v>108</v>
      </c>
      <c r="C22" s="10" t="s">
        <v>58</v>
      </c>
    </row>
    <row r="23" ht="12.75">
      <c r="C23" s="4" t="str">
        <f>C17</f>
        <v>Debt Reserve</v>
      </c>
    </row>
    <row r="24" ht="12.75">
      <c r="C24" s="4" t="str">
        <f>C18</f>
        <v>Treasury Fee</v>
      </c>
    </row>
    <row r="25" ht="13.5" thickBot="1">
      <c r="C25" s="4" t="str">
        <f>C19</f>
        <v>Intercept</v>
      </c>
    </row>
    <row r="26" ht="13.5" thickBot="1">
      <c r="C26" s="6" t="s">
        <v>11</v>
      </c>
    </row>
    <row r="27" ht="12.75">
      <c r="C27" s="4"/>
    </row>
    <row r="28" spans="1:3" ht="15.75">
      <c r="A28" s="1">
        <f>+A10+1</f>
        <v>3</v>
      </c>
      <c r="C28" s="5" t="s">
        <v>132</v>
      </c>
    </row>
    <row r="29" spans="3:45" ht="12.75">
      <c r="C29" s="4" t="str">
        <f>C23</f>
        <v>Debt Reserve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8">
        <v>0</v>
      </c>
      <c r="AS29" s="32">
        <f>SUM(AG29:AR29)</f>
        <v>0</v>
      </c>
    </row>
    <row r="30" spans="3:45" ht="12.75">
      <c r="C30" s="4" t="str">
        <f>C24</f>
        <v>Treasury Fee</v>
      </c>
      <c r="AG30" s="42">
        <v>250</v>
      </c>
      <c r="AS30" s="32">
        <f>SUM(AG30:AR30)</f>
        <v>250</v>
      </c>
    </row>
    <row r="31" spans="3:45" ht="13.5" thickBot="1">
      <c r="C31" s="4" t="str">
        <f>C25</f>
        <v>Intercept</v>
      </c>
      <c r="AG31" s="32">
        <v>31185.89</v>
      </c>
      <c r="AH31" s="32">
        <v>31185.89</v>
      </c>
      <c r="AI31" s="32">
        <v>31185.89</v>
      </c>
      <c r="AJ31" s="32">
        <v>31185.89</v>
      </c>
      <c r="AK31" s="32">
        <v>31185.89</v>
      </c>
      <c r="AL31" s="32">
        <v>31185.89</v>
      </c>
      <c r="AM31" s="32">
        <v>31185.89</v>
      </c>
      <c r="AN31" s="32">
        <v>31185.89</v>
      </c>
      <c r="AO31" s="32">
        <v>31185.89</v>
      </c>
      <c r="AP31" s="32">
        <v>31185.89</v>
      </c>
      <c r="AQ31" s="32">
        <v>31185.89</v>
      </c>
      <c r="AR31" s="38">
        <v>31185.89</v>
      </c>
      <c r="AS31" s="32">
        <f>SUM(AG31:AR31)</f>
        <v>374230.6800000001</v>
      </c>
    </row>
    <row r="32" spans="3:45" ht="13.5" thickBot="1">
      <c r="C32" s="6" t="s">
        <v>131</v>
      </c>
      <c r="AG32" s="33">
        <f aca="true" t="shared" si="4" ref="AG32:AS32">SUM(AG29:AG31)</f>
        <v>31435.89</v>
      </c>
      <c r="AH32" s="33">
        <f t="shared" si="4"/>
        <v>31185.89</v>
      </c>
      <c r="AI32" s="33">
        <f t="shared" si="4"/>
        <v>31185.89</v>
      </c>
      <c r="AJ32" s="33">
        <f t="shared" si="4"/>
        <v>31185.89</v>
      </c>
      <c r="AK32" s="33">
        <f t="shared" si="4"/>
        <v>31185.89</v>
      </c>
      <c r="AL32" s="33">
        <f t="shared" si="4"/>
        <v>31185.89</v>
      </c>
      <c r="AM32" s="33">
        <f t="shared" si="4"/>
        <v>31185.89</v>
      </c>
      <c r="AN32" s="33">
        <f t="shared" si="4"/>
        <v>31185.89</v>
      </c>
      <c r="AO32" s="33">
        <f t="shared" si="4"/>
        <v>31185.89</v>
      </c>
      <c r="AP32" s="33">
        <f t="shared" si="4"/>
        <v>31185.89</v>
      </c>
      <c r="AQ32" s="33">
        <f t="shared" si="4"/>
        <v>31185.89</v>
      </c>
      <c r="AR32" s="39">
        <f t="shared" si="4"/>
        <v>31185.89</v>
      </c>
      <c r="AS32" s="44">
        <f t="shared" si="4"/>
        <v>374480.6800000001</v>
      </c>
    </row>
    <row r="33" ht="12.75">
      <c r="C33" s="4"/>
    </row>
    <row r="34" spans="1:3" ht="15.75">
      <c r="A34" s="1">
        <f>A28+1</f>
        <v>4</v>
      </c>
      <c r="C34" s="5" t="s">
        <v>12</v>
      </c>
    </row>
    <row r="35" spans="3:45" ht="12.75">
      <c r="C35" s="4" t="str">
        <f>C29</f>
        <v>Debt Reserve</v>
      </c>
      <c r="AG35" s="32">
        <v>515.83</v>
      </c>
      <c r="AH35" s="32">
        <v>515.83</v>
      </c>
      <c r="AI35" s="32">
        <v>515.83</v>
      </c>
      <c r="AJ35" s="32">
        <v>515.83</v>
      </c>
      <c r="AK35" s="32">
        <v>515.83</v>
      </c>
      <c r="AL35" s="32">
        <v>502.5</v>
      </c>
      <c r="AM35" s="32">
        <v>502.5</v>
      </c>
      <c r="AN35" s="32">
        <v>502.5</v>
      </c>
      <c r="AO35" s="32">
        <v>502.5</v>
      </c>
      <c r="AP35" s="32">
        <v>502.5</v>
      </c>
      <c r="AQ35" s="32">
        <v>502.5</v>
      </c>
      <c r="AR35" s="38">
        <v>502.5</v>
      </c>
      <c r="AS35" s="32">
        <f>SUM(AG35:AR35)</f>
        <v>6096.65</v>
      </c>
    </row>
    <row r="36" spans="3:45" ht="12.75">
      <c r="C36" s="4" t="str">
        <f>C30</f>
        <v>Treasury Fee</v>
      </c>
      <c r="AG36" s="42">
        <v>250</v>
      </c>
      <c r="AS36" s="32">
        <f>SUM(AG36:AR36)</f>
        <v>250</v>
      </c>
    </row>
    <row r="37" spans="3:45" ht="13.5" thickBot="1">
      <c r="C37" s="4" t="str">
        <f>C31</f>
        <v>Intercept</v>
      </c>
      <c r="AG37" s="32">
        <f>13333.33+24755.63</f>
        <v>38088.96</v>
      </c>
      <c r="AH37" s="32">
        <f>13333.33+24755.63</f>
        <v>38088.96</v>
      </c>
      <c r="AI37" s="32">
        <f>13333.33+24755.63</f>
        <v>38088.96</v>
      </c>
      <c r="AJ37" s="32">
        <f>13333.33+24755.63</f>
        <v>38088.96</v>
      </c>
      <c r="AK37" s="32">
        <f>13333.33+24755.63</f>
        <v>38088.96</v>
      </c>
      <c r="AL37" s="32">
        <f>13750+24272.29</f>
        <v>38022.29</v>
      </c>
      <c r="AM37" s="32">
        <f aca="true" t="shared" si="5" ref="AM37:AR37">13750+24272.29</f>
        <v>38022.29</v>
      </c>
      <c r="AN37" s="32">
        <f t="shared" si="5"/>
        <v>38022.29</v>
      </c>
      <c r="AO37" s="32">
        <f t="shared" si="5"/>
        <v>38022.29</v>
      </c>
      <c r="AP37" s="32">
        <f t="shared" si="5"/>
        <v>38022.29</v>
      </c>
      <c r="AQ37" s="32">
        <f t="shared" si="5"/>
        <v>38022.29</v>
      </c>
      <c r="AR37" s="38">
        <f t="shared" si="5"/>
        <v>38022.29</v>
      </c>
      <c r="AS37" s="32">
        <f>SUM(AG37:AR37)</f>
        <v>456600.8299999999</v>
      </c>
    </row>
    <row r="38" spans="3:45" ht="13.5" thickBot="1">
      <c r="C38" s="6" t="s">
        <v>13</v>
      </c>
      <c r="AG38" s="33">
        <f aca="true" t="shared" si="6" ref="AG38:AS38">SUM(AG35:AG37)</f>
        <v>38854.79</v>
      </c>
      <c r="AH38" s="33">
        <f t="shared" si="6"/>
        <v>38604.79</v>
      </c>
      <c r="AI38" s="33">
        <f t="shared" si="6"/>
        <v>38604.79</v>
      </c>
      <c r="AJ38" s="33">
        <f t="shared" si="6"/>
        <v>38604.79</v>
      </c>
      <c r="AK38" s="33">
        <f t="shared" si="6"/>
        <v>38604.79</v>
      </c>
      <c r="AL38" s="33">
        <f t="shared" si="6"/>
        <v>38524.79</v>
      </c>
      <c r="AM38" s="33">
        <f t="shared" si="6"/>
        <v>38524.79</v>
      </c>
      <c r="AN38" s="33">
        <f t="shared" si="6"/>
        <v>38524.79</v>
      </c>
      <c r="AO38" s="33">
        <f t="shared" si="6"/>
        <v>38524.79</v>
      </c>
      <c r="AP38" s="33">
        <f t="shared" si="6"/>
        <v>38524.79</v>
      </c>
      <c r="AQ38" s="33">
        <f t="shared" si="6"/>
        <v>38524.79</v>
      </c>
      <c r="AR38" s="39">
        <f t="shared" si="6"/>
        <v>38524.79</v>
      </c>
      <c r="AS38" s="44">
        <f t="shared" si="6"/>
        <v>462947.4799999999</v>
      </c>
    </row>
    <row r="39" ht="12.75">
      <c r="C39" s="4"/>
    </row>
    <row r="40" spans="2:3" ht="21">
      <c r="B40" s="11" t="s">
        <v>109</v>
      </c>
      <c r="C40" s="12" t="s">
        <v>14</v>
      </c>
    </row>
    <row r="41" ht="12.75">
      <c r="C41" s="4" t="str">
        <f>C35</f>
        <v>Debt Reserve</v>
      </c>
    </row>
    <row r="42" ht="12.75">
      <c r="C42" s="4" t="str">
        <f>C36</f>
        <v>Treasury Fee</v>
      </c>
    </row>
    <row r="43" ht="13.5" thickBot="1">
      <c r="C43" s="4" t="str">
        <f>C37</f>
        <v>Intercept</v>
      </c>
    </row>
    <row r="44" ht="13.5" thickBot="1">
      <c r="C44" s="6" t="s">
        <v>15</v>
      </c>
    </row>
    <row r="45" ht="12.75">
      <c r="C45" s="4"/>
    </row>
    <row r="46" spans="2:3" ht="21">
      <c r="B46" s="11" t="s">
        <v>109</v>
      </c>
      <c r="C46" s="13" t="s">
        <v>91</v>
      </c>
    </row>
    <row r="47" ht="12.75">
      <c r="C47" s="4" t="str">
        <f>C41</f>
        <v>Debt Reserve</v>
      </c>
    </row>
    <row r="48" ht="12.75">
      <c r="C48" s="4" t="str">
        <f>C42</f>
        <v>Treasury Fee</v>
      </c>
    </row>
    <row r="49" ht="13.5" thickBot="1">
      <c r="C49" s="4" t="str">
        <f>C43</f>
        <v>Intercept</v>
      </c>
    </row>
    <row r="50" ht="13.5" thickBot="1">
      <c r="C50" s="6" t="s">
        <v>16</v>
      </c>
    </row>
    <row r="51" ht="12.75">
      <c r="C51" s="4"/>
    </row>
    <row r="52" spans="2:3" ht="21">
      <c r="B52" s="11" t="s">
        <v>109</v>
      </c>
      <c r="C52" s="12" t="s">
        <v>17</v>
      </c>
    </row>
    <row r="53" ht="12.75">
      <c r="C53" s="4" t="str">
        <f>C47</f>
        <v>Debt Reserve</v>
      </c>
    </row>
    <row r="54" ht="12.75">
      <c r="C54" s="4" t="str">
        <f>C48</f>
        <v>Treasury Fee</v>
      </c>
    </row>
    <row r="55" ht="13.5" thickBot="1">
      <c r="C55" s="4" t="str">
        <f>C49</f>
        <v>Intercept</v>
      </c>
    </row>
    <row r="56" ht="13.5" thickBot="1">
      <c r="C56" s="6" t="s">
        <v>18</v>
      </c>
    </row>
    <row r="57" ht="12.75">
      <c r="C57" s="4"/>
    </row>
    <row r="58" spans="1:3" ht="15.75">
      <c r="A58" s="1">
        <f>+A34+1</f>
        <v>5</v>
      </c>
      <c r="C58" s="5" t="s">
        <v>145</v>
      </c>
    </row>
    <row r="59" spans="3:45" ht="12.75">
      <c r="C59" s="4" t="str">
        <f>C53</f>
        <v>Debt Reserve</v>
      </c>
      <c r="AG59" s="32">
        <v>351.25</v>
      </c>
      <c r="AH59" s="32">
        <v>351.25</v>
      </c>
      <c r="AI59" s="32">
        <v>351.25</v>
      </c>
      <c r="AJ59" s="32">
        <v>351.25</v>
      </c>
      <c r="AK59" s="32">
        <v>351.25</v>
      </c>
      <c r="AL59" s="32">
        <v>351.25</v>
      </c>
      <c r="AM59" s="32">
        <v>351.25</v>
      </c>
      <c r="AN59" s="32">
        <v>351.25</v>
      </c>
      <c r="AO59" s="32">
        <v>351.25</v>
      </c>
      <c r="AP59" s="32">
        <v>342.92</v>
      </c>
      <c r="AQ59" s="32">
        <v>342.92</v>
      </c>
      <c r="AR59" s="38">
        <v>342.92</v>
      </c>
      <c r="AS59" s="32">
        <f>SUM(AG59:AR59)</f>
        <v>4190.01</v>
      </c>
    </row>
    <row r="60" spans="3:45" ht="12.75">
      <c r="C60" s="4" t="str">
        <f>C54</f>
        <v>Treasury Fee</v>
      </c>
      <c r="AG60" s="42">
        <v>250</v>
      </c>
      <c r="AS60" s="32">
        <f>SUM(AG60:AR60)</f>
        <v>250</v>
      </c>
    </row>
    <row r="61" spans="3:45" ht="13.5" thickBot="1">
      <c r="C61" s="4" t="str">
        <f>C55</f>
        <v>Intercept</v>
      </c>
      <c r="AG61" s="32">
        <f>8333.33+17282.29</f>
        <v>25615.620000000003</v>
      </c>
      <c r="AH61" s="32">
        <f>8333.33+17282.29</f>
        <v>25615.620000000003</v>
      </c>
      <c r="AI61" s="32">
        <f>8333.33+17282.29</f>
        <v>25615.620000000003</v>
      </c>
      <c r="AJ61" s="32">
        <f>8333.33+17282.29</f>
        <v>25615.620000000003</v>
      </c>
      <c r="AK61" s="32">
        <f>8750+16990.63</f>
        <v>25740.63</v>
      </c>
      <c r="AL61" s="32">
        <f aca="true" t="shared" si="7" ref="AL61:AR61">8750+16990.63</f>
        <v>25740.63</v>
      </c>
      <c r="AM61" s="32">
        <f t="shared" si="7"/>
        <v>25740.63</v>
      </c>
      <c r="AN61" s="32">
        <f t="shared" si="7"/>
        <v>25740.63</v>
      </c>
      <c r="AO61" s="32">
        <f t="shared" si="7"/>
        <v>25740.63</v>
      </c>
      <c r="AP61" s="32">
        <f t="shared" si="7"/>
        <v>25740.63</v>
      </c>
      <c r="AQ61" s="32">
        <f t="shared" si="7"/>
        <v>25740.63</v>
      </c>
      <c r="AR61" s="38">
        <f t="shared" si="7"/>
        <v>25740.63</v>
      </c>
      <c r="AS61" s="32">
        <f>SUM(AG61:AR61)</f>
        <v>308387.52</v>
      </c>
    </row>
    <row r="62" spans="3:45" ht="13.5" thickBot="1">
      <c r="C62" s="6" t="s">
        <v>146</v>
      </c>
      <c r="AG62" s="33">
        <f aca="true" t="shared" si="8" ref="AG62:AS62">SUM(AG59:AG61)</f>
        <v>26216.870000000003</v>
      </c>
      <c r="AH62" s="33">
        <f t="shared" si="8"/>
        <v>25966.870000000003</v>
      </c>
      <c r="AI62" s="33">
        <f t="shared" si="8"/>
        <v>25966.870000000003</v>
      </c>
      <c r="AJ62" s="33">
        <f t="shared" si="8"/>
        <v>25966.870000000003</v>
      </c>
      <c r="AK62" s="33">
        <f t="shared" si="8"/>
        <v>26091.88</v>
      </c>
      <c r="AL62" s="33">
        <f t="shared" si="8"/>
        <v>26091.88</v>
      </c>
      <c r="AM62" s="33">
        <f t="shared" si="8"/>
        <v>26091.88</v>
      </c>
      <c r="AN62" s="33">
        <f t="shared" si="8"/>
        <v>26091.88</v>
      </c>
      <c r="AO62" s="33">
        <f t="shared" si="8"/>
        <v>26091.88</v>
      </c>
      <c r="AP62" s="33">
        <f t="shared" si="8"/>
        <v>26083.55</v>
      </c>
      <c r="AQ62" s="33">
        <f t="shared" si="8"/>
        <v>26083.55</v>
      </c>
      <c r="AR62" s="39">
        <f t="shared" si="8"/>
        <v>26083.55</v>
      </c>
      <c r="AS62" s="44">
        <f t="shared" si="8"/>
        <v>312827.53</v>
      </c>
    </row>
    <row r="63" ht="12.75">
      <c r="C63" s="4"/>
    </row>
    <row r="64" spans="2:3" ht="21">
      <c r="B64" s="11" t="s">
        <v>109</v>
      </c>
      <c r="C64" s="12" t="s">
        <v>19</v>
      </c>
    </row>
    <row r="65" ht="12.75">
      <c r="C65" s="4" t="str">
        <f>C59</f>
        <v>Debt Reserve</v>
      </c>
    </row>
    <row r="66" ht="12.75">
      <c r="C66" s="4" t="str">
        <f>C60</f>
        <v>Treasury Fee</v>
      </c>
    </row>
    <row r="67" ht="13.5" thickBot="1">
      <c r="C67" s="4" t="str">
        <f>C61</f>
        <v>Intercept</v>
      </c>
    </row>
    <row r="68" ht="13.5" thickBot="1">
      <c r="C68" s="6" t="s">
        <v>20</v>
      </c>
    </row>
    <row r="69" ht="12.75">
      <c r="C69" s="4"/>
    </row>
    <row r="70" spans="1:3" ht="15.75">
      <c r="A70" s="1">
        <f>+A58+1</f>
        <v>6</v>
      </c>
      <c r="C70" s="5" t="s">
        <v>21</v>
      </c>
    </row>
    <row r="71" spans="3:45" ht="12.75">
      <c r="C71" s="4" t="str">
        <f>C65</f>
        <v>Debt Reserve</v>
      </c>
      <c r="AG71" s="32">
        <v>1731.25</v>
      </c>
      <c r="AH71" s="32">
        <v>1731.25</v>
      </c>
      <c r="AI71" s="32">
        <v>1731.25</v>
      </c>
      <c r="AJ71" s="32">
        <v>1731.25</v>
      </c>
      <c r="AK71" s="32">
        <v>1731.25</v>
      </c>
      <c r="AL71" s="32">
        <v>1731.25</v>
      </c>
      <c r="AM71" s="32">
        <v>1731.25</v>
      </c>
      <c r="AN71" s="32">
        <v>1731.25</v>
      </c>
      <c r="AO71" s="32">
        <v>1731.25</v>
      </c>
      <c r="AP71" s="32">
        <v>1692.08</v>
      </c>
      <c r="AQ71" s="32">
        <v>1692.08</v>
      </c>
      <c r="AR71" s="38">
        <v>1692.08</v>
      </c>
      <c r="AS71" s="32">
        <f>SUM(AG71:AR71)</f>
        <v>20657.490000000005</v>
      </c>
    </row>
    <row r="72" spans="3:45" ht="12.75">
      <c r="C72" s="4" t="str">
        <f>C66</f>
        <v>Treasury Fee</v>
      </c>
      <c r="AG72" s="42">
        <v>250</v>
      </c>
      <c r="AS72" s="32">
        <f>SUM(AG72:AR72)</f>
        <v>250</v>
      </c>
    </row>
    <row r="73" spans="3:45" ht="13.5" thickBot="1">
      <c r="C73" s="4" t="str">
        <f>C67</f>
        <v>Intercept</v>
      </c>
      <c r="AG73" s="32">
        <f>39166.67+88973.96</f>
        <v>128140.63</v>
      </c>
      <c r="AH73" s="32">
        <f>40833.33+87368.13</f>
        <v>128201.46</v>
      </c>
      <c r="AI73" s="32">
        <f aca="true" t="shared" si="9" ref="AI73:AR73">40833.33+87368.13</f>
        <v>128201.46</v>
      </c>
      <c r="AJ73" s="32">
        <f t="shared" si="9"/>
        <v>128201.46</v>
      </c>
      <c r="AK73" s="32">
        <f t="shared" si="9"/>
        <v>128201.46</v>
      </c>
      <c r="AL73" s="32">
        <f t="shared" si="9"/>
        <v>128201.46</v>
      </c>
      <c r="AM73" s="32">
        <f t="shared" si="9"/>
        <v>128201.46</v>
      </c>
      <c r="AN73" s="32">
        <f t="shared" si="9"/>
        <v>128201.46</v>
      </c>
      <c r="AO73" s="32">
        <f t="shared" si="9"/>
        <v>128201.46</v>
      </c>
      <c r="AP73" s="32">
        <f t="shared" si="9"/>
        <v>128201.46</v>
      </c>
      <c r="AQ73" s="32">
        <f t="shared" si="9"/>
        <v>128201.46</v>
      </c>
      <c r="AR73" s="38">
        <f t="shared" si="9"/>
        <v>128201.46</v>
      </c>
      <c r="AS73" s="32">
        <f>SUM(AG73:AR73)</f>
        <v>1538356.69</v>
      </c>
    </row>
    <row r="74" spans="3:45" ht="13.5" thickBot="1">
      <c r="C74" s="6" t="s">
        <v>22</v>
      </c>
      <c r="AG74" s="33">
        <f aca="true" t="shared" si="10" ref="AG74:AS74">SUM(AG71:AG73)</f>
        <v>130121.88</v>
      </c>
      <c r="AH74" s="33">
        <f t="shared" si="10"/>
        <v>129932.71</v>
      </c>
      <c r="AI74" s="33">
        <f t="shared" si="10"/>
        <v>129932.71</v>
      </c>
      <c r="AJ74" s="33">
        <f t="shared" si="10"/>
        <v>129932.71</v>
      </c>
      <c r="AK74" s="33">
        <f t="shared" si="10"/>
        <v>129932.71</v>
      </c>
      <c r="AL74" s="33">
        <f t="shared" si="10"/>
        <v>129932.71</v>
      </c>
      <c r="AM74" s="33">
        <f t="shared" si="10"/>
        <v>129932.71</v>
      </c>
      <c r="AN74" s="33">
        <f t="shared" si="10"/>
        <v>129932.71</v>
      </c>
      <c r="AO74" s="33">
        <f t="shared" si="10"/>
        <v>129932.71</v>
      </c>
      <c r="AP74" s="33">
        <f t="shared" si="10"/>
        <v>129893.54000000001</v>
      </c>
      <c r="AQ74" s="33">
        <f t="shared" si="10"/>
        <v>129893.54000000001</v>
      </c>
      <c r="AR74" s="39">
        <f t="shared" si="10"/>
        <v>129893.54000000001</v>
      </c>
      <c r="AS74" s="44">
        <f t="shared" si="10"/>
        <v>1559264.18</v>
      </c>
    </row>
    <row r="75" ht="12.75">
      <c r="C75" s="4"/>
    </row>
    <row r="76" spans="1:3" ht="15.75">
      <c r="A76" s="1">
        <f>A70+1</f>
        <v>7</v>
      </c>
      <c r="C76" s="5" t="s">
        <v>23</v>
      </c>
    </row>
    <row r="77" spans="3:45" ht="12.75">
      <c r="C77" s="4" t="str">
        <f>C71</f>
        <v>Debt Reserve</v>
      </c>
      <c r="AG77" s="32">
        <v>578.75</v>
      </c>
      <c r="AH77" s="32">
        <v>578.75</v>
      </c>
      <c r="AI77" s="32">
        <v>578.75</v>
      </c>
      <c r="AJ77" s="32">
        <v>578.75</v>
      </c>
      <c r="AK77" s="32">
        <v>578.75</v>
      </c>
      <c r="AL77" s="32">
        <v>578.75</v>
      </c>
      <c r="AM77" s="32">
        <v>578.75</v>
      </c>
      <c r="AN77" s="32">
        <v>578.75</v>
      </c>
      <c r="AO77" s="32">
        <v>578.75</v>
      </c>
      <c r="AP77" s="32">
        <v>578.75</v>
      </c>
      <c r="AQ77" s="32">
        <v>561.67</v>
      </c>
      <c r="AR77" s="45">
        <v>561.67</v>
      </c>
      <c r="AS77" s="32">
        <f>SUM(AG77:AR77)</f>
        <v>6910.84</v>
      </c>
    </row>
    <row r="78" spans="3:45" ht="12.75">
      <c r="C78" s="4" t="str">
        <f>C72</f>
        <v>Treasury Fee</v>
      </c>
      <c r="AG78" s="42">
        <v>250</v>
      </c>
      <c r="AS78" s="32">
        <f>SUM(AG78:AR78)</f>
        <v>250</v>
      </c>
    </row>
    <row r="79" spans="3:45" ht="13.5" thickBot="1">
      <c r="C79" s="4" t="str">
        <f>C73</f>
        <v>Intercept</v>
      </c>
      <c r="AG79" s="32">
        <f aca="true" t="shared" si="11" ref="AG79:AQ79">17083.33+29294.79</f>
        <v>46378.12</v>
      </c>
      <c r="AH79" s="32">
        <f t="shared" si="11"/>
        <v>46378.12</v>
      </c>
      <c r="AI79" s="32">
        <f t="shared" si="11"/>
        <v>46378.12</v>
      </c>
      <c r="AJ79" s="32">
        <f t="shared" si="11"/>
        <v>46378.12</v>
      </c>
      <c r="AK79" s="32">
        <f t="shared" si="11"/>
        <v>46378.12</v>
      </c>
      <c r="AL79" s="32">
        <f t="shared" si="11"/>
        <v>46378.12</v>
      </c>
      <c r="AM79" s="32">
        <f t="shared" si="11"/>
        <v>46378.12</v>
      </c>
      <c r="AN79" s="32">
        <f t="shared" si="11"/>
        <v>46378.12</v>
      </c>
      <c r="AO79" s="32">
        <f t="shared" si="11"/>
        <v>46378.12</v>
      </c>
      <c r="AP79" s="32">
        <f t="shared" si="11"/>
        <v>46378.12</v>
      </c>
      <c r="AQ79" s="32">
        <f t="shared" si="11"/>
        <v>46378.12</v>
      </c>
      <c r="AR79" s="38">
        <f>17916.67+28440.63</f>
        <v>46357.3</v>
      </c>
      <c r="AS79" s="32">
        <f>SUM(AG79:AR79)</f>
        <v>556516.62</v>
      </c>
    </row>
    <row r="80" spans="3:45" ht="13.5" thickBot="1">
      <c r="C80" s="6" t="s">
        <v>24</v>
      </c>
      <c r="AG80" s="33">
        <f aca="true" t="shared" si="12" ref="AG80:AS80">SUM(AG77:AG79)</f>
        <v>47206.87</v>
      </c>
      <c r="AH80" s="33">
        <f t="shared" si="12"/>
        <v>46956.87</v>
      </c>
      <c r="AI80" s="33">
        <f t="shared" si="12"/>
        <v>46956.87</v>
      </c>
      <c r="AJ80" s="33">
        <f t="shared" si="12"/>
        <v>46956.87</v>
      </c>
      <c r="AK80" s="33">
        <f t="shared" si="12"/>
        <v>46956.87</v>
      </c>
      <c r="AL80" s="33">
        <f t="shared" si="12"/>
        <v>46956.87</v>
      </c>
      <c r="AM80" s="33">
        <f t="shared" si="12"/>
        <v>46956.87</v>
      </c>
      <c r="AN80" s="33">
        <f t="shared" si="12"/>
        <v>46956.87</v>
      </c>
      <c r="AO80" s="33">
        <f t="shared" si="12"/>
        <v>46956.87</v>
      </c>
      <c r="AP80" s="33">
        <f t="shared" si="12"/>
        <v>46956.87</v>
      </c>
      <c r="AQ80" s="33">
        <f t="shared" si="12"/>
        <v>46939.79</v>
      </c>
      <c r="AR80" s="39">
        <f t="shared" si="12"/>
        <v>46918.97</v>
      </c>
      <c r="AS80" s="44">
        <f t="shared" si="12"/>
        <v>563677.46</v>
      </c>
    </row>
    <row r="81" ht="12.75">
      <c r="C81" s="14"/>
    </row>
    <row r="82" spans="1:3" ht="15.75">
      <c r="A82" s="1">
        <f>A76+1</f>
        <v>8</v>
      </c>
      <c r="C82" s="5" t="s">
        <v>25</v>
      </c>
    </row>
    <row r="83" spans="3:45" ht="12.75">
      <c r="C83" s="4" t="str">
        <f>C77</f>
        <v>Debt Reserve</v>
      </c>
      <c r="AG83" s="32">
        <v>1616.67</v>
      </c>
      <c r="AH83" s="32">
        <v>1616.67</v>
      </c>
      <c r="AI83" s="32">
        <v>1616.67</v>
      </c>
      <c r="AJ83" s="32">
        <v>1616.67</v>
      </c>
      <c r="AK83" s="32">
        <v>1616.67</v>
      </c>
      <c r="AL83" s="32">
        <v>1616.67</v>
      </c>
      <c r="AM83" s="32">
        <v>1616.67</v>
      </c>
      <c r="AN83" s="32">
        <v>1616.67</v>
      </c>
      <c r="AO83" s="32">
        <v>1616.67</v>
      </c>
      <c r="AP83" s="32">
        <v>1616.67</v>
      </c>
      <c r="AQ83" s="32">
        <v>1583.75</v>
      </c>
      <c r="AR83" s="38">
        <v>1583.75</v>
      </c>
      <c r="AS83" s="32">
        <f>SUM(AG83:AR83)</f>
        <v>19334.2</v>
      </c>
    </row>
    <row r="84" spans="3:45" ht="12.75">
      <c r="C84" s="4" t="str">
        <f>C78</f>
        <v>Treasury Fee</v>
      </c>
      <c r="AG84">
        <v>250</v>
      </c>
      <c r="AS84" s="32">
        <f>SUM(AG84:AR84)</f>
        <v>250</v>
      </c>
    </row>
    <row r="85" spans="3:45" ht="13.5" thickBot="1">
      <c r="C85" s="4" t="str">
        <f>C79</f>
        <v>Intercept</v>
      </c>
      <c r="AG85" s="42">
        <f>32916.67+85824.79</f>
        <v>118741.45999999999</v>
      </c>
      <c r="AH85" s="42">
        <f aca="true" t="shared" si="13" ref="AH85:AP85">32916.67+85824.79</f>
        <v>118741.45999999999</v>
      </c>
      <c r="AI85" s="42">
        <f t="shared" si="13"/>
        <v>118741.45999999999</v>
      </c>
      <c r="AJ85" s="42">
        <f t="shared" si="13"/>
        <v>118741.45999999999</v>
      </c>
      <c r="AK85" s="42">
        <f t="shared" si="13"/>
        <v>118741.45999999999</v>
      </c>
      <c r="AL85" s="42">
        <f t="shared" si="13"/>
        <v>118741.45999999999</v>
      </c>
      <c r="AM85" s="42">
        <f t="shared" si="13"/>
        <v>118741.45999999999</v>
      </c>
      <c r="AN85" s="42">
        <f t="shared" si="13"/>
        <v>118741.45999999999</v>
      </c>
      <c r="AO85" s="42">
        <f t="shared" si="13"/>
        <v>118741.45999999999</v>
      </c>
      <c r="AP85" s="42">
        <f t="shared" si="13"/>
        <v>118741.45999999999</v>
      </c>
      <c r="AQ85" s="42">
        <f>34583.33+84327.08</f>
        <v>118910.41</v>
      </c>
      <c r="AR85" s="46">
        <f>34583.33+84327.08</f>
        <v>118910.41</v>
      </c>
      <c r="AS85" s="32">
        <f>SUM(AG85:AR85)</f>
        <v>1425235.4199999997</v>
      </c>
    </row>
    <row r="86" spans="3:45" ht="13.5" thickBot="1">
      <c r="C86" s="6" t="s">
        <v>26</v>
      </c>
      <c r="AG86" s="33">
        <f aca="true" t="shared" si="14" ref="AG86:AS86">SUM(AG83:AG85)</f>
        <v>120608.12999999999</v>
      </c>
      <c r="AH86" s="33">
        <f t="shared" si="14"/>
        <v>120358.12999999999</v>
      </c>
      <c r="AI86" s="33">
        <f t="shared" si="14"/>
        <v>120358.12999999999</v>
      </c>
      <c r="AJ86" s="33">
        <f t="shared" si="14"/>
        <v>120358.12999999999</v>
      </c>
      <c r="AK86" s="33">
        <f t="shared" si="14"/>
        <v>120358.12999999999</v>
      </c>
      <c r="AL86" s="33">
        <f t="shared" si="14"/>
        <v>120358.12999999999</v>
      </c>
      <c r="AM86" s="33">
        <f t="shared" si="14"/>
        <v>120358.12999999999</v>
      </c>
      <c r="AN86" s="33">
        <f t="shared" si="14"/>
        <v>120358.12999999999</v>
      </c>
      <c r="AO86" s="33">
        <f t="shared" si="14"/>
        <v>120358.12999999999</v>
      </c>
      <c r="AP86" s="33">
        <f t="shared" si="14"/>
        <v>120358.12999999999</v>
      </c>
      <c r="AQ86" s="33">
        <f t="shared" si="14"/>
        <v>120494.16</v>
      </c>
      <c r="AR86" s="39">
        <f t="shared" si="14"/>
        <v>120494.16</v>
      </c>
      <c r="AS86" s="44">
        <f t="shared" si="14"/>
        <v>1444819.6199999996</v>
      </c>
    </row>
    <row r="87" ht="12.75">
      <c r="C87" s="14"/>
    </row>
    <row r="88" spans="1:3" ht="15.75">
      <c r="A88" s="1">
        <f>A82+1</f>
        <v>9</v>
      </c>
      <c r="C88" s="5" t="s">
        <v>27</v>
      </c>
    </row>
    <row r="89" spans="3:45" ht="12.75">
      <c r="C89" s="4" t="str">
        <f>C83</f>
        <v>Debt Reserve</v>
      </c>
      <c r="AG89" s="32">
        <v>1478.33</v>
      </c>
      <c r="AH89" s="32">
        <v>1478.33</v>
      </c>
      <c r="AI89" s="32">
        <v>1478.33</v>
      </c>
      <c r="AJ89" s="32">
        <v>1478.33</v>
      </c>
      <c r="AK89" s="32">
        <v>1478.33</v>
      </c>
      <c r="AL89" s="32">
        <v>1478.33</v>
      </c>
      <c r="AM89" s="32">
        <v>1478.33</v>
      </c>
      <c r="AN89" s="32">
        <v>1478.33</v>
      </c>
      <c r="AO89" s="32">
        <v>1478.33</v>
      </c>
      <c r="AP89" s="32">
        <v>1478.33</v>
      </c>
      <c r="AQ89" s="32">
        <v>1478.33</v>
      </c>
      <c r="AR89" s="38">
        <v>1439.17</v>
      </c>
      <c r="AS89" s="32">
        <f>SUM(AG89:AR89)</f>
        <v>17700.8</v>
      </c>
    </row>
    <row r="90" spans="3:45" ht="12.75">
      <c r="C90" s="4" t="str">
        <f>C84</f>
        <v>Treasury Fee</v>
      </c>
      <c r="AG90" s="42">
        <v>250</v>
      </c>
      <c r="AS90" s="32">
        <f>SUM(AG90:AR90)</f>
        <v>250</v>
      </c>
    </row>
    <row r="91" spans="3:45" ht="13.5" thickBot="1">
      <c r="C91" s="4" t="str">
        <f>C85</f>
        <v>Intercept</v>
      </c>
      <c r="AG91" s="32">
        <f aca="true" t="shared" si="15" ref="AG91:AQ91">39166.67+73782.29</f>
        <v>112948.95999999999</v>
      </c>
      <c r="AH91" s="32">
        <f t="shared" si="15"/>
        <v>112948.95999999999</v>
      </c>
      <c r="AI91" s="32">
        <f t="shared" si="15"/>
        <v>112948.95999999999</v>
      </c>
      <c r="AJ91" s="32">
        <f t="shared" si="15"/>
        <v>112948.95999999999</v>
      </c>
      <c r="AK91" s="32">
        <f t="shared" si="15"/>
        <v>112948.95999999999</v>
      </c>
      <c r="AL91" s="32">
        <f t="shared" si="15"/>
        <v>112948.95999999999</v>
      </c>
      <c r="AM91" s="32">
        <f t="shared" si="15"/>
        <v>112948.95999999999</v>
      </c>
      <c r="AN91" s="32">
        <f t="shared" si="15"/>
        <v>112948.95999999999</v>
      </c>
      <c r="AO91" s="32">
        <f t="shared" si="15"/>
        <v>112948.95999999999</v>
      </c>
      <c r="AP91" s="32">
        <f t="shared" si="15"/>
        <v>112948.95999999999</v>
      </c>
      <c r="AQ91" s="32">
        <f t="shared" si="15"/>
        <v>112948.95999999999</v>
      </c>
      <c r="AR91" s="38">
        <f>40416.67+72313.54</f>
        <v>112730.20999999999</v>
      </c>
      <c r="AS91" s="32">
        <f>SUM(AG91:AR91)</f>
        <v>1355168.7699999998</v>
      </c>
    </row>
    <row r="92" spans="3:45" ht="13.5" thickBot="1">
      <c r="C92" s="6" t="s">
        <v>28</v>
      </c>
      <c r="AG92" s="33">
        <f aca="true" t="shared" si="16" ref="AG92:AS92">SUM(AG89:AG91)</f>
        <v>114677.29</v>
      </c>
      <c r="AH92" s="33">
        <f t="shared" si="16"/>
        <v>114427.29</v>
      </c>
      <c r="AI92" s="33">
        <f t="shared" si="16"/>
        <v>114427.29</v>
      </c>
      <c r="AJ92" s="33">
        <f t="shared" si="16"/>
        <v>114427.29</v>
      </c>
      <c r="AK92" s="33">
        <f t="shared" si="16"/>
        <v>114427.29</v>
      </c>
      <c r="AL92" s="33">
        <f t="shared" si="16"/>
        <v>114427.29</v>
      </c>
      <c r="AM92" s="33">
        <f t="shared" si="16"/>
        <v>114427.29</v>
      </c>
      <c r="AN92" s="33">
        <f t="shared" si="16"/>
        <v>114427.29</v>
      </c>
      <c r="AO92" s="33">
        <f t="shared" si="16"/>
        <v>114427.29</v>
      </c>
      <c r="AP92" s="33">
        <f t="shared" si="16"/>
        <v>114427.29</v>
      </c>
      <c r="AQ92" s="33">
        <f t="shared" si="16"/>
        <v>114427.29</v>
      </c>
      <c r="AR92" s="39">
        <f t="shared" si="16"/>
        <v>114169.37999999999</v>
      </c>
      <c r="AS92" s="44">
        <f t="shared" si="16"/>
        <v>1373119.5699999998</v>
      </c>
    </row>
    <row r="93" ht="12.75">
      <c r="C93" s="14"/>
    </row>
    <row r="94" spans="2:3" ht="21">
      <c r="B94" s="11" t="s">
        <v>109</v>
      </c>
      <c r="C94" s="12" t="s">
        <v>29</v>
      </c>
    </row>
    <row r="95" ht="12.75">
      <c r="C95" s="4" t="str">
        <f>C89</f>
        <v>Debt Reserve</v>
      </c>
    </row>
    <row r="96" ht="12.75">
      <c r="C96" s="4" t="str">
        <f>C90</f>
        <v>Treasury Fee</v>
      </c>
    </row>
    <row r="97" ht="13.5" thickBot="1">
      <c r="C97" s="4" t="str">
        <f>C91</f>
        <v>Intercept</v>
      </c>
    </row>
    <row r="98" ht="13.5" thickBot="1">
      <c r="C98" s="6" t="s">
        <v>30</v>
      </c>
    </row>
    <row r="99" ht="12.75">
      <c r="C99" s="14"/>
    </row>
    <row r="100" spans="2:3" ht="21">
      <c r="B100" s="11" t="s">
        <v>109</v>
      </c>
      <c r="C100" s="12" t="s">
        <v>31</v>
      </c>
    </row>
    <row r="101" ht="12.75">
      <c r="C101" s="4" t="str">
        <f>C95</f>
        <v>Debt Reserve</v>
      </c>
    </row>
    <row r="102" ht="12.75">
      <c r="C102" s="4" t="str">
        <f>C96</f>
        <v>Treasury Fee</v>
      </c>
    </row>
    <row r="103" ht="13.5" thickBot="1">
      <c r="C103" s="4" t="str">
        <f>C97</f>
        <v>Intercept</v>
      </c>
    </row>
    <row r="104" ht="13.5" thickBot="1">
      <c r="C104" s="6" t="s">
        <v>32</v>
      </c>
    </row>
    <row r="105" ht="12.75">
      <c r="C105" s="14"/>
    </row>
    <row r="106" spans="1:3" ht="15.75">
      <c r="A106" s="1">
        <f>+A88+1</f>
        <v>10</v>
      </c>
      <c r="C106" s="5" t="s">
        <v>33</v>
      </c>
    </row>
    <row r="107" spans="3:45" ht="12.75">
      <c r="C107" s="4" t="str">
        <f>C89</f>
        <v>Debt Reserve</v>
      </c>
      <c r="AG107" s="32">
        <v>548.75</v>
      </c>
      <c r="AH107" s="32">
        <v>548.75</v>
      </c>
      <c r="AI107" s="32">
        <v>536.67</v>
      </c>
      <c r="AJ107" s="32">
        <v>536.67</v>
      </c>
      <c r="AK107" s="32">
        <v>536.67</v>
      </c>
      <c r="AL107" s="32">
        <v>536.67</v>
      </c>
      <c r="AM107" s="32">
        <v>536.67</v>
      </c>
      <c r="AN107" s="32">
        <v>536.67</v>
      </c>
      <c r="AO107" s="32">
        <v>536.67</v>
      </c>
      <c r="AP107" s="32">
        <v>536.67</v>
      </c>
      <c r="AQ107" s="32">
        <v>536.67</v>
      </c>
      <c r="AR107" s="38">
        <v>536.67</v>
      </c>
      <c r="AS107" s="32">
        <f>SUM(AG107:AR107)</f>
        <v>6464.200000000001</v>
      </c>
    </row>
    <row r="108" spans="3:45" ht="12.75">
      <c r="C108" s="4" t="str">
        <f>C90</f>
        <v>Treasury Fee</v>
      </c>
      <c r="AG108" s="42">
        <v>250</v>
      </c>
      <c r="AS108" s="32">
        <f>SUM(AG108:AR108)</f>
        <v>250</v>
      </c>
    </row>
    <row r="109" spans="3:45" ht="13.5" thickBot="1">
      <c r="C109" s="4" t="str">
        <f>C91</f>
        <v>Intercept</v>
      </c>
      <c r="AG109" s="32">
        <f>12500+27840.63</f>
        <v>40340.630000000005</v>
      </c>
      <c r="AH109" s="32">
        <f aca="true" t="shared" si="17" ref="AH109:AM109">12500+27840.63</f>
        <v>40340.630000000005</v>
      </c>
      <c r="AI109" s="32">
        <f t="shared" si="17"/>
        <v>40340.630000000005</v>
      </c>
      <c r="AJ109" s="32">
        <f t="shared" si="17"/>
        <v>40340.630000000005</v>
      </c>
      <c r="AK109" s="32">
        <f t="shared" si="17"/>
        <v>40340.630000000005</v>
      </c>
      <c r="AL109" s="32">
        <f t="shared" si="17"/>
        <v>40340.630000000005</v>
      </c>
      <c r="AM109" s="32">
        <f t="shared" si="17"/>
        <v>40340.630000000005</v>
      </c>
      <c r="AN109" s="32">
        <f>13333.33+27403.13</f>
        <v>40736.46</v>
      </c>
      <c r="AO109" s="32">
        <f>13333.33+27403.13</f>
        <v>40736.46</v>
      </c>
      <c r="AP109" s="32">
        <f>13333.33+27403.13</f>
        <v>40736.46</v>
      </c>
      <c r="AQ109" s="32">
        <f>13333.33+27403.13</f>
        <v>40736.46</v>
      </c>
      <c r="AR109" s="38">
        <f>13333.33+27403.13</f>
        <v>40736.46</v>
      </c>
      <c r="AS109" s="32">
        <f>SUM(AG109:AR109)</f>
        <v>486066.71000000014</v>
      </c>
    </row>
    <row r="110" spans="3:45" ht="13.5" thickBot="1">
      <c r="C110" s="6" t="s">
        <v>34</v>
      </c>
      <c r="AG110" s="33">
        <f aca="true" t="shared" si="18" ref="AG110:AS110">SUM(AG107:AG109)</f>
        <v>41139.380000000005</v>
      </c>
      <c r="AH110" s="33">
        <f t="shared" si="18"/>
        <v>40889.380000000005</v>
      </c>
      <c r="AI110" s="33">
        <f t="shared" si="18"/>
        <v>40877.3</v>
      </c>
      <c r="AJ110" s="33">
        <f t="shared" si="18"/>
        <v>40877.3</v>
      </c>
      <c r="AK110" s="33">
        <f t="shared" si="18"/>
        <v>40877.3</v>
      </c>
      <c r="AL110" s="33">
        <f t="shared" si="18"/>
        <v>40877.3</v>
      </c>
      <c r="AM110" s="33">
        <f t="shared" si="18"/>
        <v>40877.3</v>
      </c>
      <c r="AN110" s="33">
        <f t="shared" si="18"/>
        <v>41273.13</v>
      </c>
      <c r="AO110" s="33">
        <f t="shared" si="18"/>
        <v>41273.13</v>
      </c>
      <c r="AP110" s="33">
        <f t="shared" si="18"/>
        <v>41273.13</v>
      </c>
      <c r="AQ110" s="33">
        <f t="shared" si="18"/>
        <v>41273.13</v>
      </c>
      <c r="AR110" s="39">
        <f t="shared" si="18"/>
        <v>41273.13</v>
      </c>
      <c r="AS110" s="44">
        <f t="shared" si="18"/>
        <v>492780.91000000015</v>
      </c>
    </row>
    <row r="111" ht="12.75">
      <c r="C111" s="14"/>
    </row>
    <row r="112" spans="1:3" ht="15.75">
      <c r="A112" s="1">
        <f>A106+1</f>
        <v>11</v>
      </c>
      <c r="C112" s="5" t="s">
        <v>35</v>
      </c>
    </row>
    <row r="113" spans="3:45" ht="12.75">
      <c r="C113" s="4" t="str">
        <f>C95</f>
        <v>Debt Reserve</v>
      </c>
      <c r="AG113" s="32">
        <v>590.83</v>
      </c>
      <c r="AH113" s="32">
        <v>590.83</v>
      </c>
      <c r="AI113" s="32">
        <v>590.83</v>
      </c>
      <c r="AJ113" s="32">
        <v>590.83</v>
      </c>
      <c r="AK113" s="32">
        <v>575.83</v>
      </c>
      <c r="AL113" s="32">
        <v>575.83</v>
      </c>
      <c r="AM113" s="32">
        <v>575.83</v>
      </c>
      <c r="AN113" s="32">
        <v>575.83</v>
      </c>
      <c r="AO113" s="32">
        <v>575.83</v>
      </c>
      <c r="AP113" s="32">
        <v>575.83</v>
      </c>
      <c r="AQ113" s="32">
        <v>575.83</v>
      </c>
      <c r="AR113" s="38">
        <v>575.83</v>
      </c>
      <c r="AS113" s="32">
        <f>SUM(AG113:AR113)</f>
        <v>6969.96</v>
      </c>
    </row>
    <row r="114" spans="3:45" ht="12.75">
      <c r="C114" s="4" t="str">
        <f>C96</f>
        <v>Treasury Fee</v>
      </c>
      <c r="AG114" s="42">
        <v>250</v>
      </c>
      <c r="AS114" s="32">
        <f>SUM(AG114:AR114)</f>
        <v>250</v>
      </c>
    </row>
    <row r="115" spans="3:45" ht="13.5" thickBot="1">
      <c r="C115" s="4" t="str">
        <f>C97</f>
        <v>Intercept</v>
      </c>
      <c r="AG115" s="32">
        <f aca="true" t="shared" si="19" ref="AG115:AO115">15416.67+25936.77</f>
        <v>41353.44</v>
      </c>
      <c r="AH115" s="32">
        <f t="shared" si="19"/>
        <v>41353.44</v>
      </c>
      <c r="AI115" s="32">
        <f t="shared" si="19"/>
        <v>41353.44</v>
      </c>
      <c r="AJ115" s="32">
        <f t="shared" si="19"/>
        <v>41353.44</v>
      </c>
      <c r="AK115" s="32">
        <f t="shared" si="19"/>
        <v>41353.44</v>
      </c>
      <c r="AL115" s="32">
        <f t="shared" si="19"/>
        <v>41353.44</v>
      </c>
      <c r="AM115" s="32">
        <f t="shared" si="19"/>
        <v>41353.44</v>
      </c>
      <c r="AN115" s="32">
        <f t="shared" si="19"/>
        <v>41353.44</v>
      </c>
      <c r="AO115" s="32">
        <f t="shared" si="19"/>
        <v>41353.44</v>
      </c>
      <c r="AP115" s="32">
        <f>15833.33+25435.73</f>
        <v>41269.06</v>
      </c>
      <c r="AQ115" s="32">
        <f>15833.33+25435.73</f>
        <v>41269.06</v>
      </c>
      <c r="AR115" s="38">
        <f>15833.33+25435.73</f>
        <v>41269.06</v>
      </c>
      <c r="AS115" s="32">
        <f>SUM(AG115:AR115)</f>
        <v>495988.14</v>
      </c>
    </row>
    <row r="116" spans="3:45" ht="13.5" thickBot="1">
      <c r="C116" s="6" t="s">
        <v>36</v>
      </c>
      <c r="AG116" s="33">
        <f aca="true" t="shared" si="20" ref="AG116:AS116">SUM(AG113:AG115)</f>
        <v>42194.270000000004</v>
      </c>
      <c r="AH116" s="33">
        <f t="shared" si="20"/>
        <v>41944.270000000004</v>
      </c>
      <c r="AI116" s="33">
        <f t="shared" si="20"/>
        <v>41944.270000000004</v>
      </c>
      <c r="AJ116" s="33">
        <f t="shared" si="20"/>
        <v>41944.270000000004</v>
      </c>
      <c r="AK116" s="33">
        <f t="shared" si="20"/>
        <v>41929.270000000004</v>
      </c>
      <c r="AL116" s="33">
        <f t="shared" si="20"/>
        <v>41929.270000000004</v>
      </c>
      <c r="AM116" s="33">
        <f t="shared" si="20"/>
        <v>41929.270000000004</v>
      </c>
      <c r="AN116" s="33">
        <f t="shared" si="20"/>
        <v>41929.270000000004</v>
      </c>
      <c r="AO116" s="33">
        <f t="shared" si="20"/>
        <v>41929.270000000004</v>
      </c>
      <c r="AP116" s="33">
        <f t="shared" si="20"/>
        <v>41844.89</v>
      </c>
      <c r="AQ116" s="33">
        <f t="shared" si="20"/>
        <v>41844.89</v>
      </c>
      <c r="AR116" s="39">
        <f t="shared" si="20"/>
        <v>41844.89</v>
      </c>
      <c r="AS116" s="44">
        <f t="shared" si="20"/>
        <v>503208.10000000003</v>
      </c>
    </row>
    <row r="117" ht="12.75">
      <c r="C117" s="14"/>
    </row>
    <row r="118" spans="1:3" ht="15.75">
      <c r="A118" s="1">
        <f>A112+1</f>
        <v>12</v>
      </c>
      <c r="C118" s="5" t="s">
        <v>158</v>
      </c>
    </row>
    <row r="119" spans="3:45" ht="12.75">
      <c r="C119" s="4" t="str">
        <f>C101</f>
        <v>Debt Reserve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8">
        <v>0</v>
      </c>
      <c r="AS119" s="32">
        <f>SUM(AG119:AR119)</f>
        <v>0</v>
      </c>
    </row>
    <row r="120" spans="3:45" ht="12.75">
      <c r="C120" s="4" t="str">
        <f>C102</f>
        <v>Treasury Fee</v>
      </c>
      <c r="AG120" s="42">
        <v>250</v>
      </c>
      <c r="AS120" s="32">
        <f>SUM(AG120:AR120)</f>
        <v>250</v>
      </c>
    </row>
    <row r="121" spans="3:45" ht="13.5" thickBot="1">
      <c r="C121" s="4" t="str">
        <f>C103</f>
        <v>Intercept</v>
      </c>
      <c r="AG121" s="32">
        <f aca="true" t="shared" si="21" ref="AG121:AN121">7083.33+34520.31</f>
        <v>41603.64</v>
      </c>
      <c r="AH121" s="32">
        <f t="shared" si="21"/>
        <v>41603.64</v>
      </c>
      <c r="AI121" s="32">
        <f t="shared" si="21"/>
        <v>41603.64</v>
      </c>
      <c r="AJ121" s="32">
        <f t="shared" si="21"/>
        <v>41603.64</v>
      </c>
      <c r="AK121" s="32">
        <f t="shared" si="21"/>
        <v>41603.64</v>
      </c>
      <c r="AL121" s="32">
        <f t="shared" si="21"/>
        <v>41603.64</v>
      </c>
      <c r="AM121" s="32">
        <f t="shared" si="21"/>
        <v>41603.64</v>
      </c>
      <c r="AN121" s="32">
        <f t="shared" si="21"/>
        <v>41603.64</v>
      </c>
      <c r="AO121" s="32">
        <f>7500+34042.19</f>
        <v>41542.19</v>
      </c>
      <c r="AP121" s="32">
        <f>7500+34042.19</f>
        <v>41542.19</v>
      </c>
      <c r="AQ121" s="32">
        <f>7500+34042.19</f>
        <v>41542.19</v>
      </c>
      <c r="AR121" s="38">
        <f>7500+34042.19</f>
        <v>41542.19</v>
      </c>
      <c r="AS121" s="32">
        <f>SUM(AG121:AR121)</f>
        <v>498997.88000000006</v>
      </c>
    </row>
    <row r="122" spans="3:45" ht="13.5" thickBot="1">
      <c r="C122" s="6" t="s">
        <v>37</v>
      </c>
      <c r="AG122" s="33">
        <f aca="true" t="shared" si="22" ref="AG122:AS122">SUM(AG119:AG121)</f>
        <v>41853.64</v>
      </c>
      <c r="AH122" s="33">
        <f t="shared" si="22"/>
        <v>41603.64</v>
      </c>
      <c r="AI122" s="33">
        <f t="shared" si="22"/>
        <v>41603.64</v>
      </c>
      <c r="AJ122" s="33">
        <f t="shared" si="22"/>
        <v>41603.64</v>
      </c>
      <c r="AK122" s="33">
        <f t="shared" si="22"/>
        <v>41603.64</v>
      </c>
      <c r="AL122" s="33">
        <f t="shared" si="22"/>
        <v>41603.64</v>
      </c>
      <c r="AM122" s="33">
        <f t="shared" si="22"/>
        <v>41603.64</v>
      </c>
      <c r="AN122" s="33">
        <f t="shared" si="22"/>
        <v>41603.64</v>
      </c>
      <c r="AO122" s="33">
        <f t="shared" si="22"/>
        <v>41542.19</v>
      </c>
      <c r="AP122" s="33">
        <f t="shared" si="22"/>
        <v>41542.19</v>
      </c>
      <c r="AQ122" s="33">
        <f t="shared" si="22"/>
        <v>41542.19</v>
      </c>
      <c r="AR122" s="39">
        <f t="shared" si="22"/>
        <v>41542.19</v>
      </c>
      <c r="AS122" s="44">
        <f t="shared" si="22"/>
        <v>499247.88000000006</v>
      </c>
    </row>
    <row r="123" ht="12.75">
      <c r="C123" s="14"/>
    </row>
    <row r="124" spans="1:3" ht="15.75">
      <c r="A124" s="1">
        <f>A118+1</f>
        <v>13</v>
      </c>
      <c r="C124" s="5" t="s">
        <v>38</v>
      </c>
    </row>
    <row r="125" spans="3:45" ht="12.75">
      <c r="C125" s="4" t="str">
        <f>C107</f>
        <v>Debt Reserve</v>
      </c>
      <c r="AG125" s="32">
        <v>475.42</v>
      </c>
      <c r="AH125" s="32">
        <v>475.42</v>
      </c>
      <c r="AI125" s="32">
        <v>475.42</v>
      </c>
      <c r="AJ125" s="32">
        <v>475.42</v>
      </c>
      <c r="AK125" s="32">
        <v>475.42</v>
      </c>
      <c r="AL125" s="32">
        <v>475.42</v>
      </c>
      <c r="AM125" s="32">
        <v>475.42</v>
      </c>
      <c r="AN125" s="32">
        <v>475.42</v>
      </c>
      <c r="AO125" s="32">
        <v>475.42</v>
      </c>
      <c r="AP125" s="32">
        <v>475.42</v>
      </c>
      <c r="AQ125" s="32">
        <v>464.17</v>
      </c>
      <c r="AR125" s="38">
        <v>464.17</v>
      </c>
      <c r="AS125" s="32">
        <f>SUM(AG125:AR125)</f>
        <v>5682.54</v>
      </c>
    </row>
    <row r="126" spans="3:45" ht="12.75">
      <c r="C126" s="4" t="str">
        <f>C108</f>
        <v>Treasury Fee</v>
      </c>
      <c r="AG126" s="42">
        <v>250</v>
      </c>
      <c r="AS126" s="32">
        <f>SUM(AG126:AR126)</f>
        <v>250</v>
      </c>
    </row>
    <row r="127" spans="3:45" ht="13.5" thickBot="1">
      <c r="C127" s="4" t="str">
        <f>C109</f>
        <v>Intercept</v>
      </c>
      <c r="AG127" s="32">
        <f>11250+23734.9</f>
        <v>34984.9</v>
      </c>
      <c r="AH127" s="32">
        <f>11250+23734.9</f>
        <v>34984.9</v>
      </c>
      <c r="AI127" s="32">
        <f>11250+23734.9</f>
        <v>34984.9</v>
      </c>
      <c r="AJ127" s="32">
        <f>11250+23734.9</f>
        <v>34984.9</v>
      </c>
      <c r="AK127" s="32">
        <f>11250+23734.9</f>
        <v>34984.9</v>
      </c>
      <c r="AL127" s="32">
        <f>11666.67+23369.27+0.01</f>
        <v>35035.950000000004</v>
      </c>
      <c r="AM127" s="32">
        <f aca="true" t="shared" si="23" ref="AM127:AR127">11666.67+23369.27</f>
        <v>35035.94</v>
      </c>
      <c r="AN127" s="32">
        <f t="shared" si="23"/>
        <v>35035.94</v>
      </c>
      <c r="AO127" s="32">
        <f t="shared" si="23"/>
        <v>35035.94</v>
      </c>
      <c r="AP127" s="32">
        <f t="shared" si="23"/>
        <v>35035.94</v>
      </c>
      <c r="AQ127" s="32">
        <f t="shared" si="23"/>
        <v>35035.94</v>
      </c>
      <c r="AR127" s="38">
        <f t="shared" si="23"/>
        <v>35035.94</v>
      </c>
      <c r="AS127" s="32">
        <f>SUM(AG127:AR127)</f>
        <v>420176.09</v>
      </c>
    </row>
    <row r="128" spans="3:45" ht="13.5" thickBot="1">
      <c r="C128" s="6" t="s">
        <v>39</v>
      </c>
      <c r="AG128" s="33">
        <f aca="true" t="shared" si="24" ref="AG128:AS128">SUM(AG125:AG127)</f>
        <v>35710.32</v>
      </c>
      <c r="AH128" s="33">
        <f t="shared" si="24"/>
        <v>35460.32</v>
      </c>
      <c r="AI128" s="33">
        <f t="shared" si="24"/>
        <v>35460.32</v>
      </c>
      <c r="AJ128" s="33">
        <f t="shared" si="24"/>
        <v>35460.32</v>
      </c>
      <c r="AK128" s="33">
        <f t="shared" si="24"/>
        <v>35460.32</v>
      </c>
      <c r="AL128" s="33">
        <f t="shared" si="24"/>
        <v>35511.37</v>
      </c>
      <c r="AM128" s="33">
        <f t="shared" si="24"/>
        <v>35511.36</v>
      </c>
      <c r="AN128" s="33">
        <f t="shared" si="24"/>
        <v>35511.36</v>
      </c>
      <c r="AO128" s="33">
        <f t="shared" si="24"/>
        <v>35511.36</v>
      </c>
      <c r="AP128" s="33">
        <f t="shared" si="24"/>
        <v>35511.36</v>
      </c>
      <c r="AQ128" s="33">
        <f t="shared" si="24"/>
        <v>35500.11</v>
      </c>
      <c r="AR128" s="39">
        <f t="shared" si="24"/>
        <v>35500.11</v>
      </c>
      <c r="AS128" s="44">
        <f t="shared" si="24"/>
        <v>426108.63</v>
      </c>
    </row>
    <row r="129" ht="12.75">
      <c r="C129" s="14"/>
    </row>
    <row r="130" spans="1:3" ht="15.75">
      <c r="A130" s="1">
        <f>A124+1</f>
        <v>14</v>
      </c>
      <c r="C130" s="5" t="s">
        <v>46</v>
      </c>
    </row>
    <row r="131" spans="3:45" ht="12.75">
      <c r="C131" s="4" t="str">
        <f>C113</f>
        <v>Debt Reserve</v>
      </c>
      <c r="AG131" s="32">
        <v>1064.58</v>
      </c>
      <c r="AH131" s="32">
        <v>1064.58</v>
      </c>
      <c r="AI131" s="32">
        <v>1064.58</v>
      </c>
      <c r="AJ131" s="32">
        <v>1064.58</v>
      </c>
      <c r="AK131" s="32">
        <v>1064.58</v>
      </c>
      <c r="AL131" s="32">
        <v>1064.58</v>
      </c>
      <c r="AM131" s="32">
        <v>1064.58</v>
      </c>
      <c r="AN131" s="32">
        <v>1064.58</v>
      </c>
      <c r="AO131" s="32">
        <v>1064.58</v>
      </c>
      <c r="AP131" s="32">
        <v>1064.58</v>
      </c>
      <c r="AQ131" s="32">
        <v>1064.58</v>
      </c>
      <c r="AR131" s="38">
        <v>1035.42</v>
      </c>
      <c r="AS131" s="32">
        <f>SUM(AG131:AR131)</f>
        <v>12745.8</v>
      </c>
    </row>
    <row r="132" spans="3:45" ht="12.75">
      <c r="C132" s="4" t="str">
        <f>C114</f>
        <v>Treasury Fee</v>
      </c>
      <c r="AG132" s="42">
        <v>250</v>
      </c>
      <c r="AS132" s="32">
        <f>SUM(AG132:AR132)</f>
        <v>250</v>
      </c>
    </row>
    <row r="133" spans="3:45" ht="13.5" thickBot="1">
      <c r="C133" s="4" t="str">
        <f>C115</f>
        <v>Intercept</v>
      </c>
      <c r="AG133" s="32">
        <f>29166.67+52351.56</f>
        <v>81518.23</v>
      </c>
      <c r="AH133" s="32">
        <f>29166.67+52351.56</f>
        <v>81518.23</v>
      </c>
      <c r="AI133" s="32">
        <f>30000+51403.65</f>
        <v>81403.65</v>
      </c>
      <c r="AJ133" s="32">
        <f aca="true" t="shared" si="25" ref="AJ133:AR133">30000+51403.65</f>
        <v>81403.65</v>
      </c>
      <c r="AK133" s="32">
        <f t="shared" si="25"/>
        <v>81403.65</v>
      </c>
      <c r="AL133" s="32">
        <f t="shared" si="25"/>
        <v>81403.65</v>
      </c>
      <c r="AM133" s="32">
        <f t="shared" si="25"/>
        <v>81403.65</v>
      </c>
      <c r="AN133" s="32">
        <f t="shared" si="25"/>
        <v>81403.65</v>
      </c>
      <c r="AO133" s="32">
        <f t="shared" si="25"/>
        <v>81403.65</v>
      </c>
      <c r="AP133" s="32">
        <f t="shared" si="25"/>
        <v>81403.65</v>
      </c>
      <c r="AQ133" s="32">
        <f t="shared" si="25"/>
        <v>81403.65</v>
      </c>
      <c r="AR133" s="38">
        <f t="shared" si="25"/>
        <v>81403.65</v>
      </c>
      <c r="AS133" s="32">
        <f>SUM(AG133:AR133)</f>
        <v>977072.9600000002</v>
      </c>
    </row>
    <row r="134" spans="3:45" ht="13.5" thickBot="1">
      <c r="C134" s="6" t="s">
        <v>40</v>
      </c>
      <c r="AG134" s="33">
        <f aca="true" t="shared" si="26" ref="AG134:AS134">SUM(AG131:AG133)</f>
        <v>82832.81</v>
      </c>
      <c r="AH134" s="33">
        <f t="shared" si="26"/>
        <v>82582.81</v>
      </c>
      <c r="AI134" s="33">
        <f t="shared" si="26"/>
        <v>82468.23</v>
      </c>
      <c r="AJ134" s="33">
        <f t="shared" si="26"/>
        <v>82468.23</v>
      </c>
      <c r="AK134" s="33">
        <f t="shared" si="26"/>
        <v>82468.23</v>
      </c>
      <c r="AL134" s="33">
        <f t="shared" si="26"/>
        <v>82468.23</v>
      </c>
      <c r="AM134" s="33">
        <f t="shared" si="26"/>
        <v>82468.23</v>
      </c>
      <c r="AN134" s="33">
        <f t="shared" si="26"/>
        <v>82468.23</v>
      </c>
      <c r="AO134" s="33">
        <f t="shared" si="26"/>
        <v>82468.23</v>
      </c>
      <c r="AP134" s="33">
        <f t="shared" si="26"/>
        <v>82468.23</v>
      </c>
      <c r="AQ134" s="33">
        <f t="shared" si="26"/>
        <v>82468.23</v>
      </c>
      <c r="AR134" s="39">
        <f t="shared" si="26"/>
        <v>82439.06999999999</v>
      </c>
      <c r="AS134" s="44">
        <f t="shared" si="26"/>
        <v>990068.7600000002</v>
      </c>
    </row>
    <row r="135" ht="12.75">
      <c r="C135" s="14"/>
    </row>
    <row r="136" spans="1:3" ht="15.75">
      <c r="A136" s="1">
        <f>A130+1</f>
        <v>15</v>
      </c>
      <c r="C136" s="5" t="s">
        <v>47</v>
      </c>
    </row>
    <row r="137" spans="3:45" ht="12.75">
      <c r="C137" s="4" t="str">
        <f>C119</f>
        <v>Debt Reserve</v>
      </c>
      <c r="AG137" s="32">
        <v>139.22</v>
      </c>
      <c r="AH137" s="32">
        <v>139.22</v>
      </c>
      <c r="AI137" s="32">
        <v>139.22</v>
      </c>
      <c r="AJ137" s="32">
        <v>139.22</v>
      </c>
      <c r="AK137" s="32">
        <v>139.22</v>
      </c>
      <c r="AL137" s="32">
        <v>139.22</v>
      </c>
      <c r="AM137" s="32">
        <v>139.22</v>
      </c>
      <c r="AN137" s="32">
        <v>139.22</v>
      </c>
      <c r="AO137" s="32">
        <v>130.89</v>
      </c>
      <c r="AP137" s="32">
        <v>130.89</v>
      </c>
      <c r="AQ137" s="32">
        <v>130.89</v>
      </c>
      <c r="AR137" s="38">
        <v>130.89</v>
      </c>
      <c r="AS137" s="32">
        <f>SUM(AG137:AR137)</f>
        <v>1637.3199999999997</v>
      </c>
    </row>
    <row r="138" spans="3:45" ht="12.75">
      <c r="C138" s="4" t="str">
        <f>C120</f>
        <v>Treasury Fee</v>
      </c>
      <c r="AG138" s="42">
        <v>250</v>
      </c>
      <c r="AS138" s="32">
        <f>SUM(AG138:AR138)</f>
        <v>250</v>
      </c>
    </row>
    <row r="139" spans="3:45" ht="13.5" thickBot="1">
      <c r="C139" s="4" t="str">
        <f>C121</f>
        <v>Intercept</v>
      </c>
      <c r="AG139" s="32">
        <f aca="true" t="shared" si="27" ref="AG139:AN139">7916.67+7605.42</f>
        <v>15522.09</v>
      </c>
      <c r="AH139" s="32">
        <f t="shared" si="27"/>
        <v>15522.09</v>
      </c>
      <c r="AI139" s="32">
        <f t="shared" si="27"/>
        <v>15522.09</v>
      </c>
      <c r="AJ139" s="32">
        <f t="shared" si="27"/>
        <v>15522.09</v>
      </c>
      <c r="AK139" s="32">
        <f t="shared" si="27"/>
        <v>15522.09</v>
      </c>
      <c r="AL139" s="32">
        <f t="shared" si="27"/>
        <v>15522.09</v>
      </c>
      <c r="AM139" s="32">
        <f t="shared" si="27"/>
        <v>15522.09</v>
      </c>
      <c r="AN139" s="32">
        <f t="shared" si="27"/>
        <v>15522.09</v>
      </c>
      <c r="AO139" s="32">
        <f>8333.33+7328.33</f>
        <v>15661.66</v>
      </c>
      <c r="AP139" s="32">
        <f>8333.33+7328.33</f>
        <v>15661.66</v>
      </c>
      <c r="AQ139" s="32">
        <f>8333.33+7328.33</f>
        <v>15661.66</v>
      </c>
      <c r="AR139" s="38">
        <f>8333.33+7328.33</f>
        <v>15661.66</v>
      </c>
      <c r="AS139" s="32">
        <f>SUM(AG139:AR139)</f>
        <v>186823.36</v>
      </c>
    </row>
    <row r="140" spans="3:45" ht="13.5" thickBot="1">
      <c r="C140" s="6" t="s">
        <v>48</v>
      </c>
      <c r="AG140" s="33">
        <f aca="true" t="shared" si="28" ref="AG140:AS140">SUM(AG137:AG139)</f>
        <v>15911.31</v>
      </c>
      <c r="AH140" s="33">
        <f t="shared" si="28"/>
        <v>15661.31</v>
      </c>
      <c r="AI140" s="33">
        <f t="shared" si="28"/>
        <v>15661.31</v>
      </c>
      <c r="AJ140" s="33">
        <f t="shared" si="28"/>
        <v>15661.31</v>
      </c>
      <c r="AK140" s="33">
        <f t="shared" si="28"/>
        <v>15661.31</v>
      </c>
      <c r="AL140" s="33">
        <f t="shared" si="28"/>
        <v>15661.31</v>
      </c>
      <c r="AM140" s="33">
        <f t="shared" si="28"/>
        <v>15661.31</v>
      </c>
      <c r="AN140" s="33">
        <f t="shared" si="28"/>
        <v>15661.31</v>
      </c>
      <c r="AO140" s="33">
        <f t="shared" si="28"/>
        <v>15792.55</v>
      </c>
      <c r="AP140" s="33">
        <f t="shared" si="28"/>
        <v>15792.55</v>
      </c>
      <c r="AQ140" s="33">
        <f t="shared" si="28"/>
        <v>15792.55</v>
      </c>
      <c r="AR140" s="39">
        <f t="shared" si="28"/>
        <v>15792.55</v>
      </c>
      <c r="AS140" s="44">
        <f t="shared" si="28"/>
        <v>188710.68</v>
      </c>
    </row>
    <row r="141" ht="12.75">
      <c r="C141" s="14"/>
    </row>
    <row r="142" spans="1:3" ht="15.75">
      <c r="A142" s="1">
        <f>A136+1</f>
        <v>16</v>
      </c>
      <c r="C142" s="5" t="s">
        <v>49</v>
      </c>
    </row>
    <row r="143" spans="3:45" ht="12.75">
      <c r="C143" s="4" t="str">
        <f>C125</f>
        <v>Debt Reserve</v>
      </c>
      <c r="AG143" s="32">
        <v>584.17</v>
      </c>
      <c r="AH143" s="32">
        <v>584.17</v>
      </c>
      <c r="AI143" s="32">
        <v>570.42</v>
      </c>
      <c r="AJ143" s="32">
        <v>570.42</v>
      </c>
      <c r="AK143" s="32">
        <v>570.42</v>
      </c>
      <c r="AL143" s="32">
        <v>570.42</v>
      </c>
      <c r="AM143" s="32">
        <v>570.42</v>
      </c>
      <c r="AN143" s="32">
        <v>570.42</v>
      </c>
      <c r="AO143" s="32">
        <v>570.42</v>
      </c>
      <c r="AP143" s="32">
        <v>570.42</v>
      </c>
      <c r="AQ143" s="32">
        <v>570.42</v>
      </c>
      <c r="AR143" s="38">
        <v>570.42</v>
      </c>
      <c r="AS143" s="32">
        <f>SUM(AG143:AR143)</f>
        <v>6872.54</v>
      </c>
    </row>
    <row r="144" spans="3:45" ht="12.75">
      <c r="C144" s="4" t="str">
        <f>C126</f>
        <v>Treasury Fee</v>
      </c>
      <c r="AG144" s="42">
        <v>250</v>
      </c>
      <c r="AS144" s="32">
        <f>SUM(AG144:AR144)</f>
        <v>250</v>
      </c>
    </row>
    <row r="145" spans="3:45" ht="13.5" thickBot="1">
      <c r="C145" s="4" t="str">
        <f>C127</f>
        <v>Intercept</v>
      </c>
      <c r="AG145" s="32">
        <f>14166.67+29981.88</f>
        <v>44148.55</v>
      </c>
      <c r="AH145" s="32">
        <f>14166.67+29981.88</f>
        <v>44148.55</v>
      </c>
      <c r="AI145" s="32">
        <f>14166.67+29981.88</f>
        <v>44148.55</v>
      </c>
      <c r="AJ145" s="32">
        <f>14166.67+29981.88</f>
        <v>44148.55</v>
      </c>
      <c r="AK145" s="32">
        <f>14166.67+29981.88</f>
        <v>44148.55</v>
      </c>
      <c r="AL145" s="32">
        <f>14583.33+29493.13</f>
        <v>44076.46</v>
      </c>
      <c r="AM145" s="32">
        <f aca="true" t="shared" si="29" ref="AM145:AR145">14583.33+29493.13</f>
        <v>44076.46</v>
      </c>
      <c r="AN145" s="32">
        <f t="shared" si="29"/>
        <v>44076.46</v>
      </c>
      <c r="AO145" s="32">
        <f t="shared" si="29"/>
        <v>44076.46</v>
      </c>
      <c r="AP145" s="32">
        <f t="shared" si="29"/>
        <v>44076.46</v>
      </c>
      <c r="AQ145" s="32">
        <f t="shared" si="29"/>
        <v>44076.46</v>
      </c>
      <c r="AR145" s="38">
        <f t="shared" si="29"/>
        <v>44076.46</v>
      </c>
      <c r="AS145" s="32">
        <f>SUM(AG145:AR145)</f>
        <v>529277.9700000001</v>
      </c>
    </row>
    <row r="146" spans="3:45" ht="13.5" thickBot="1">
      <c r="C146" s="6" t="s">
        <v>50</v>
      </c>
      <c r="AG146" s="33">
        <f aca="true" t="shared" si="30" ref="AG146:AS146">SUM(AG143:AG145)</f>
        <v>44982.72</v>
      </c>
      <c r="AH146" s="33">
        <f t="shared" si="30"/>
        <v>44732.72</v>
      </c>
      <c r="AI146" s="33">
        <f t="shared" si="30"/>
        <v>44718.97</v>
      </c>
      <c r="AJ146" s="33">
        <f t="shared" si="30"/>
        <v>44718.97</v>
      </c>
      <c r="AK146" s="33">
        <f t="shared" si="30"/>
        <v>44718.97</v>
      </c>
      <c r="AL146" s="33">
        <f t="shared" si="30"/>
        <v>44646.88</v>
      </c>
      <c r="AM146" s="33">
        <f t="shared" si="30"/>
        <v>44646.88</v>
      </c>
      <c r="AN146" s="33">
        <f t="shared" si="30"/>
        <v>44646.88</v>
      </c>
      <c r="AO146" s="33">
        <f t="shared" si="30"/>
        <v>44646.88</v>
      </c>
      <c r="AP146" s="33">
        <f t="shared" si="30"/>
        <v>44646.88</v>
      </c>
      <c r="AQ146" s="33">
        <f t="shared" si="30"/>
        <v>44646.88</v>
      </c>
      <c r="AR146" s="39">
        <f t="shared" si="30"/>
        <v>44646.88</v>
      </c>
      <c r="AS146" s="44">
        <f t="shared" si="30"/>
        <v>536400.5100000001</v>
      </c>
    </row>
    <row r="147" ht="12.75">
      <c r="C147" s="14"/>
    </row>
    <row r="148" spans="1:3" ht="15.75">
      <c r="A148" s="1">
        <f>A142+1</f>
        <v>17</v>
      </c>
      <c r="C148" s="5" t="s">
        <v>51</v>
      </c>
    </row>
    <row r="149" spans="3:45" ht="12.75">
      <c r="C149" s="4" t="str">
        <f>C131</f>
        <v>Debt Reserve</v>
      </c>
      <c r="AG149" s="32">
        <v>622.08</v>
      </c>
      <c r="AH149" s="32">
        <v>622.08</v>
      </c>
      <c r="AI149" s="32">
        <v>608.75</v>
      </c>
      <c r="AJ149" s="32">
        <v>608.75</v>
      </c>
      <c r="AK149" s="32">
        <v>608.75</v>
      </c>
      <c r="AL149" s="32">
        <v>608.75</v>
      </c>
      <c r="AM149" s="32">
        <v>608.75</v>
      </c>
      <c r="AN149" s="32">
        <v>608.75</v>
      </c>
      <c r="AO149" s="32">
        <v>608.75</v>
      </c>
      <c r="AP149" s="32">
        <v>608.75</v>
      </c>
      <c r="AQ149" s="32">
        <v>608.75</v>
      </c>
      <c r="AR149" s="38">
        <v>608.75</v>
      </c>
      <c r="AS149" s="32">
        <f>SUM(AG149:AR149)</f>
        <v>7331.66</v>
      </c>
    </row>
    <row r="150" spans="3:45" ht="12.75">
      <c r="C150" s="4" t="str">
        <f>C132</f>
        <v>Treasury Fee</v>
      </c>
      <c r="AG150" s="42">
        <v>250</v>
      </c>
      <c r="AS150" s="32">
        <f>SUM(AG150:AR150)</f>
        <v>250</v>
      </c>
    </row>
    <row r="151" spans="3:45" ht="13.5" thickBot="1">
      <c r="C151" s="4" t="str">
        <f>C133</f>
        <v>Intercept</v>
      </c>
      <c r="AG151" s="32">
        <f>13333.33+32858.13</f>
        <v>46191.46</v>
      </c>
      <c r="AH151" s="32">
        <f>13750+32404.79</f>
        <v>46154.79</v>
      </c>
      <c r="AI151" s="32">
        <f aca="true" t="shared" si="31" ref="AI151:AR151">13750+32404.79</f>
        <v>46154.79</v>
      </c>
      <c r="AJ151" s="32">
        <f t="shared" si="31"/>
        <v>46154.79</v>
      </c>
      <c r="AK151" s="32">
        <f t="shared" si="31"/>
        <v>46154.79</v>
      </c>
      <c r="AL151" s="32">
        <f t="shared" si="31"/>
        <v>46154.79</v>
      </c>
      <c r="AM151" s="32">
        <f t="shared" si="31"/>
        <v>46154.79</v>
      </c>
      <c r="AN151" s="32">
        <f t="shared" si="31"/>
        <v>46154.79</v>
      </c>
      <c r="AO151" s="32">
        <f t="shared" si="31"/>
        <v>46154.79</v>
      </c>
      <c r="AP151" s="32">
        <f t="shared" si="31"/>
        <v>46154.79</v>
      </c>
      <c r="AQ151" s="32">
        <f t="shared" si="31"/>
        <v>46154.79</v>
      </c>
      <c r="AR151" s="38">
        <f t="shared" si="31"/>
        <v>46154.79</v>
      </c>
      <c r="AS151" s="32">
        <f>SUM(AG151:AR151)</f>
        <v>553894.1499999999</v>
      </c>
    </row>
    <row r="152" spans="3:45" ht="13.5" thickBot="1">
      <c r="C152" s="6" t="s">
        <v>52</v>
      </c>
      <c r="AG152" s="33">
        <f aca="true" t="shared" si="32" ref="AG152:AS152">SUM(AG149:AG151)</f>
        <v>47063.54</v>
      </c>
      <c r="AH152" s="33">
        <f t="shared" si="32"/>
        <v>46776.87</v>
      </c>
      <c r="AI152" s="33">
        <f t="shared" si="32"/>
        <v>46763.54</v>
      </c>
      <c r="AJ152" s="33">
        <f t="shared" si="32"/>
        <v>46763.54</v>
      </c>
      <c r="AK152" s="33">
        <f t="shared" si="32"/>
        <v>46763.54</v>
      </c>
      <c r="AL152" s="33">
        <f t="shared" si="32"/>
        <v>46763.54</v>
      </c>
      <c r="AM152" s="33">
        <f t="shared" si="32"/>
        <v>46763.54</v>
      </c>
      <c r="AN152" s="33">
        <f t="shared" si="32"/>
        <v>46763.54</v>
      </c>
      <c r="AO152" s="33">
        <f t="shared" si="32"/>
        <v>46763.54</v>
      </c>
      <c r="AP152" s="33">
        <f t="shared" si="32"/>
        <v>46763.54</v>
      </c>
      <c r="AQ152" s="33">
        <f t="shared" si="32"/>
        <v>46763.54</v>
      </c>
      <c r="AR152" s="39">
        <f t="shared" si="32"/>
        <v>46763.54</v>
      </c>
      <c r="AS152" s="44">
        <f t="shared" si="32"/>
        <v>561475.8099999999</v>
      </c>
    </row>
    <row r="153" ht="12.75">
      <c r="C153" s="14"/>
    </row>
    <row r="154" spans="1:3" ht="15.75">
      <c r="A154" s="1">
        <f>A148+1</f>
        <v>18</v>
      </c>
      <c r="C154" s="5" t="s">
        <v>53</v>
      </c>
    </row>
    <row r="155" spans="3:45" ht="12.75">
      <c r="C155" s="4" t="str">
        <f>C137</f>
        <v>Debt Reserve</v>
      </c>
      <c r="AG155" s="32">
        <v>0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32">
        <v>0</v>
      </c>
      <c r="AN155" s="32">
        <v>0</v>
      </c>
      <c r="AO155" s="32">
        <v>0</v>
      </c>
      <c r="AP155" s="32">
        <v>0</v>
      </c>
      <c r="AQ155" s="32">
        <v>0</v>
      </c>
      <c r="AR155" s="38">
        <v>0</v>
      </c>
      <c r="AS155" s="32">
        <f>SUM(AG155:AR155)</f>
        <v>0</v>
      </c>
    </row>
    <row r="156" spans="3:45" ht="12.75">
      <c r="C156" s="4" t="str">
        <f>C138</f>
        <v>Treasury Fee</v>
      </c>
      <c r="AG156" s="42">
        <v>250</v>
      </c>
      <c r="AS156" s="32">
        <f>SUM(AG156:AR156)</f>
        <v>250</v>
      </c>
    </row>
    <row r="157" spans="3:45" ht="13.5" thickBot="1">
      <c r="C157" s="4" t="str">
        <f>C139</f>
        <v>Intercept</v>
      </c>
      <c r="AG157" s="32">
        <f aca="true" t="shared" si="33" ref="AG157:AP157">7083.33+30062.5</f>
        <v>37145.83</v>
      </c>
      <c r="AH157" s="32">
        <f t="shared" si="33"/>
        <v>37145.83</v>
      </c>
      <c r="AI157" s="32">
        <f t="shared" si="33"/>
        <v>37145.83</v>
      </c>
      <c r="AJ157" s="32">
        <f t="shared" si="33"/>
        <v>37145.83</v>
      </c>
      <c r="AK157" s="32">
        <f t="shared" si="33"/>
        <v>37145.83</v>
      </c>
      <c r="AL157" s="32">
        <f t="shared" si="33"/>
        <v>37145.83</v>
      </c>
      <c r="AM157" s="32">
        <f t="shared" si="33"/>
        <v>37145.83</v>
      </c>
      <c r="AN157" s="32">
        <f t="shared" si="33"/>
        <v>37145.83</v>
      </c>
      <c r="AO157" s="32">
        <f t="shared" si="33"/>
        <v>37145.83</v>
      </c>
      <c r="AP157" s="32">
        <f t="shared" si="33"/>
        <v>37145.83</v>
      </c>
      <c r="AQ157" s="32">
        <f>7500+29602.08</f>
        <v>37102.08</v>
      </c>
      <c r="AR157" s="38">
        <f>7500+29602.08</f>
        <v>37102.08</v>
      </c>
      <c r="AS157" s="32">
        <f>SUM(AG157:AR157)</f>
        <v>445662.46000000014</v>
      </c>
    </row>
    <row r="158" spans="3:45" ht="13.5" thickBot="1">
      <c r="C158" s="6" t="s">
        <v>54</v>
      </c>
      <c r="AG158" s="33">
        <f aca="true" t="shared" si="34" ref="AG158:AS158">SUM(AG155:AG157)</f>
        <v>37395.83</v>
      </c>
      <c r="AH158" s="33">
        <f t="shared" si="34"/>
        <v>37145.83</v>
      </c>
      <c r="AI158" s="33">
        <f t="shared" si="34"/>
        <v>37145.83</v>
      </c>
      <c r="AJ158" s="33">
        <f t="shared" si="34"/>
        <v>37145.83</v>
      </c>
      <c r="AK158" s="33">
        <f t="shared" si="34"/>
        <v>37145.83</v>
      </c>
      <c r="AL158" s="33">
        <f t="shared" si="34"/>
        <v>37145.83</v>
      </c>
      <c r="AM158" s="33">
        <f t="shared" si="34"/>
        <v>37145.83</v>
      </c>
      <c r="AN158" s="33">
        <f t="shared" si="34"/>
        <v>37145.83</v>
      </c>
      <c r="AO158" s="33">
        <f t="shared" si="34"/>
        <v>37145.83</v>
      </c>
      <c r="AP158" s="33">
        <f t="shared" si="34"/>
        <v>37145.83</v>
      </c>
      <c r="AQ158" s="33">
        <f t="shared" si="34"/>
        <v>37102.08</v>
      </c>
      <c r="AR158" s="39">
        <f t="shared" si="34"/>
        <v>37102.08</v>
      </c>
      <c r="AS158" s="44">
        <f t="shared" si="34"/>
        <v>445912.46000000014</v>
      </c>
    </row>
    <row r="159" ht="12.75">
      <c r="C159" s="14"/>
    </row>
    <row r="160" spans="2:3" ht="21">
      <c r="B160" s="11" t="s">
        <v>109</v>
      </c>
      <c r="C160" s="12" t="s">
        <v>55</v>
      </c>
    </row>
    <row r="161" ht="12.75">
      <c r="C161" s="4" t="str">
        <f>C143</f>
        <v>Debt Reserve</v>
      </c>
    </row>
    <row r="162" ht="12.75">
      <c r="C162" s="4" t="str">
        <f>C144</f>
        <v>Treasury Fee</v>
      </c>
    </row>
    <row r="163" ht="13.5" thickBot="1">
      <c r="C163" s="4" t="str">
        <f>C145</f>
        <v>Intercept</v>
      </c>
    </row>
    <row r="164" ht="13.5" thickBot="1">
      <c r="C164" s="6" t="s">
        <v>56</v>
      </c>
    </row>
    <row r="165" ht="12.75">
      <c r="C165" s="14"/>
    </row>
    <row r="166" spans="1:3" ht="21">
      <c r="A166" s="1">
        <f>+A154+1</f>
        <v>19</v>
      </c>
      <c r="B166" s="7" t="s">
        <v>107</v>
      </c>
      <c r="C166" s="8" t="s">
        <v>59</v>
      </c>
    </row>
    <row r="167" spans="3:45" ht="12.75">
      <c r="C167" s="4" t="str">
        <f>C149</f>
        <v>Debt Reserve</v>
      </c>
      <c r="AG167" s="32">
        <v>0</v>
      </c>
      <c r="AH167" s="32">
        <v>0</v>
      </c>
      <c r="AI167" s="32">
        <v>0</v>
      </c>
      <c r="AJ167" s="32">
        <v>0</v>
      </c>
      <c r="AK167" s="32">
        <v>0</v>
      </c>
      <c r="AL167" s="32">
        <v>0</v>
      </c>
      <c r="AM167" s="32">
        <v>0</v>
      </c>
      <c r="AN167" s="32">
        <v>0</v>
      </c>
      <c r="AO167" s="32">
        <v>0</v>
      </c>
      <c r="AP167" s="32">
        <v>0</v>
      </c>
      <c r="AQ167" s="32">
        <v>0</v>
      </c>
      <c r="AR167" s="38">
        <v>0</v>
      </c>
      <c r="AS167" s="32">
        <f>SUM(AG167:AR167)</f>
        <v>0</v>
      </c>
    </row>
    <row r="168" spans="3:45" ht="12.75">
      <c r="C168" s="4" t="str">
        <f>C150</f>
        <v>Treasury Fee</v>
      </c>
      <c r="AG168" s="42">
        <v>250</v>
      </c>
      <c r="AS168" s="32">
        <f>SUM(AG168:AR168)</f>
        <v>250</v>
      </c>
    </row>
    <row r="169" spans="3:45" ht="13.5" thickBot="1">
      <c r="C169" s="4" t="str">
        <f>C151</f>
        <v>Intercept</v>
      </c>
      <c r="AG169" s="32">
        <f aca="true" t="shared" si="35" ref="AG169:AO169">7083.33+33483.33</f>
        <v>40566.66</v>
      </c>
      <c r="AH169" s="32">
        <f t="shared" si="35"/>
        <v>40566.66</v>
      </c>
      <c r="AI169" s="32">
        <f t="shared" si="35"/>
        <v>40566.66</v>
      </c>
      <c r="AJ169" s="32">
        <f t="shared" si="35"/>
        <v>40566.66</v>
      </c>
      <c r="AK169" s="32">
        <f t="shared" si="35"/>
        <v>40566.66</v>
      </c>
      <c r="AL169" s="32">
        <f t="shared" si="35"/>
        <v>40566.66</v>
      </c>
      <c r="AM169" s="32">
        <f t="shared" si="35"/>
        <v>40566.66</v>
      </c>
      <c r="AN169" s="32">
        <f t="shared" si="35"/>
        <v>40566.66</v>
      </c>
      <c r="AO169" s="32">
        <f t="shared" si="35"/>
        <v>40566.66</v>
      </c>
      <c r="AP169" s="32">
        <f>7500+32987.5</f>
        <v>40487.5</v>
      </c>
      <c r="AQ169" s="32">
        <f>7500+32987.5</f>
        <v>40487.5</v>
      </c>
      <c r="AR169" s="38">
        <f>7500+32987.5</f>
        <v>40487.5</v>
      </c>
      <c r="AS169" s="32">
        <f>SUM(AG169:AR169)</f>
        <v>486562.44000000006</v>
      </c>
    </row>
    <row r="170" spans="3:45" ht="13.5" thickBot="1">
      <c r="C170" s="6" t="s">
        <v>57</v>
      </c>
      <c r="AG170" s="33">
        <f aca="true" t="shared" si="36" ref="AG170:AS170">SUM(AG167:AG169)</f>
        <v>40816.66</v>
      </c>
      <c r="AH170" s="33">
        <f t="shared" si="36"/>
        <v>40566.66</v>
      </c>
      <c r="AI170" s="33">
        <f t="shared" si="36"/>
        <v>40566.66</v>
      </c>
      <c r="AJ170" s="33">
        <f t="shared" si="36"/>
        <v>40566.66</v>
      </c>
      <c r="AK170" s="33">
        <f t="shared" si="36"/>
        <v>40566.66</v>
      </c>
      <c r="AL170" s="33">
        <f t="shared" si="36"/>
        <v>40566.66</v>
      </c>
      <c r="AM170" s="33">
        <f t="shared" si="36"/>
        <v>40566.66</v>
      </c>
      <c r="AN170" s="33">
        <f t="shared" si="36"/>
        <v>40566.66</v>
      </c>
      <c r="AO170" s="33">
        <f t="shared" si="36"/>
        <v>40566.66</v>
      </c>
      <c r="AP170" s="33">
        <f t="shared" si="36"/>
        <v>40487.5</v>
      </c>
      <c r="AQ170" s="33">
        <f t="shared" si="36"/>
        <v>40487.5</v>
      </c>
      <c r="AR170" s="39">
        <f t="shared" si="36"/>
        <v>40487.5</v>
      </c>
      <c r="AS170" s="44">
        <f t="shared" si="36"/>
        <v>486812.44000000006</v>
      </c>
    </row>
    <row r="171" ht="12.75">
      <c r="C171" s="14"/>
    </row>
    <row r="172" spans="1:3" ht="15.75">
      <c r="A172" s="1">
        <f>A166+1</f>
        <v>20</v>
      </c>
      <c r="C172" s="5" t="s">
        <v>61</v>
      </c>
    </row>
    <row r="173" spans="3:45" ht="12.75">
      <c r="C173" s="4" t="str">
        <f>C155</f>
        <v>Debt Reserve</v>
      </c>
      <c r="AG173" s="32">
        <v>620.83</v>
      </c>
      <c r="AH173" s="32">
        <v>620.83</v>
      </c>
      <c r="AI173" s="32">
        <v>608.33</v>
      </c>
      <c r="AJ173" s="32">
        <v>608.33</v>
      </c>
      <c r="AK173" s="32">
        <v>608.33</v>
      </c>
      <c r="AL173" s="32">
        <v>608.33</v>
      </c>
      <c r="AM173" s="32">
        <v>608.33</v>
      </c>
      <c r="AN173" s="32">
        <v>608.33</v>
      </c>
      <c r="AO173" s="32">
        <v>608.33</v>
      </c>
      <c r="AP173" s="32">
        <v>608.33</v>
      </c>
      <c r="AQ173" s="32">
        <v>608.33</v>
      </c>
      <c r="AR173" s="38">
        <v>608.33</v>
      </c>
      <c r="AS173" s="32">
        <f>SUM(AG173:AR173)</f>
        <v>7324.96</v>
      </c>
    </row>
    <row r="174" spans="3:45" ht="12.75">
      <c r="C174" s="4" t="str">
        <f>C156</f>
        <v>Treasury Fee</v>
      </c>
      <c r="AG174" s="42">
        <v>250</v>
      </c>
      <c r="AS174" s="32">
        <f>SUM(AG174:AR174)</f>
        <v>250</v>
      </c>
    </row>
    <row r="175" spans="3:45" ht="13.5" thickBot="1">
      <c r="C175" s="4" t="str">
        <f>C157</f>
        <v>Intercept</v>
      </c>
      <c r="AG175" s="32">
        <f>12500+29008.54</f>
        <v>41508.54</v>
      </c>
      <c r="AH175" s="32">
        <f>12500+29008.54</f>
        <v>41508.54</v>
      </c>
      <c r="AI175" s="32">
        <f>12500+29008.54</f>
        <v>41508.54</v>
      </c>
      <c r="AJ175" s="32">
        <f>12500+29008.54</f>
        <v>41508.54</v>
      </c>
      <c r="AK175" s="32">
        <f>12500+29008.54</f>
        <v>41508.54</v>
      </c>
      <c r="AL175" s="32">
        <f>12916.67+28508.54</f>
        <v>41425.21</v>
      </c>
      <c r="AM175" s="32">
        <f aca="true" t="shared" si="37" ref="AM175:AR175">12916.67+28508.54</f>
        <v>41425.21</v>
      </c>
      <c r="AN175" s="32">
        <f t="shared" si="37"/>
        <v>41425.21</v>
      </c>
      <c r="AO175" s="32">
        <f t="shared" si="37"/>
        <v>41425.21</v>
      </c>
      <c r="AP175" s="32">
        <f t="shared" si="37"/>
        <v>41425.21</v>
      </c>
      <c r="AQ175" s="32">
        <f t="shared" si="37"/>
        <v>41425.21</v>
      </c>
      <c r="AR175" s="38">
        <f t="shared" si="37"/>
        <v>41425.21</v>
      </c>
      <c r="AS175" s="32">
        <f>SUM(AG175:AR175)</f>
        <v>497519.1700000001</v>
      </c>
    </row>
    <row r="176" spans="3:45" ht="13.5" thickBot="1">
      <c r="C176" s="6" t="s">
        <v>62</v>
      </c>
      <c r="AG176" s="33">
        <f aca="true" t="shared" si="38" ref="AG176:AS176">SUM(AG173:AG175)</f>
        <v>42379.37</v>
      </c>
      <c r="AH176" s="33">
        <f t="shared" si="38"/>
        <v>42129.37</v>
      </c>
      <c r="AI176" s="33">
        <f t="shared" si="38"/>
        <v>42116.87</v>
      </c>
      <c r="AJ176" s="33">
        <f t="shared" si="38"/>
        <v>42116.87</v>
      </c>
      <c r="AK176" s="33">
        <f t="shared" si="38"/>
        <v>42116.87</v>
      </c>
      <c r="AL176" s="33">
        <f t="shared" si="38"/>
        <v>42033.54</v>
      </c>
      <c r="AM176" s="33">
        <f t="shared" si="38"/>
        <v>42033.54</v>
      </c>
      <c r="AN176" s="33">
        <f t="shared" si="38"/>
        <v>42033.54</v>
      </c>
      <c r="AO176" s="33">
        <f t="shared" si="38"/>
        <v>42033.54</v>
      </c>
      <c r="AP176" s="33">
        <f t="shared" si="38"/>
        <v>42033.54</v>
      </c>
      <c r="AQ176" s="33">
        <f t="shared" si="38"/>
        <v>42033.54</v>
      </c>
      <c r="AR176" s="39">
        <f t="shared" si="38"/>
        <v>42033.54</v>
      </c>
      <c r="AS176" s="44">
        <f t="shared" si="38"/>
        <v>505094.1300000001</v>
      </c>
    </row>
    <row r="177" ht="12.75">
      <c r="C177" s="14"/>
    </row>
    <row r="178" spans="1:3" ht="15.75">
      <c r="A178" s="1">
        <f>A172+1</f>
        <v>21</v>
      </c>
      <c r="C178" s="5" t="s">
        <v>63</v>
      </c>
    </row>
    <row r="179" spans="3:45" ht="12.75">
      <c r="C179" s="4" t="str">
        <f>C161</f>
        <v>Debt Reserve</v>
      </c>
      <c r="AG179" s="32">
        <v>918.75</v>
      </c>
      <c r="AH179" s="32">
        <v>918.75</v>
      </c>
      <c r="AI179" s="32">
        <v>899.17</v>
      </c>
      <c r="AJ179" s="32">
        <v>899.17</v>
      </c>
      <c r="AK179" s="32">
        <v>899.17</v>
      </c>
      <c r="AL179" s="32">
        <v>899.17</v>
      </c>
      <c r="AM179" s="32">
        <v>899.17</v>
      </c>
      <c r="AN179" s="32">
        <v>899.17</v>
      </c>
      <c r="AO179" s="32">
        <v>899.17</v>
      </c>
      <c r="AP179" s="32">
        <v>899.17</v>
      </c>
      <c r="AQ179" s="32">
        <v>899.17</v>
      </c>
      <c r="AR179" s="38">
        <v>899.17</v>
      </c>
      <c r="AS179" s="32">
        <f>SUM(AG179:AR179)</f>
        <v>10829.2</v>
      </c>
    </row>
    <row r="180" spans="3:45" ht="12.75">
      <c r="C180" s="4" t="str">
        <f>C162</f>
        <v>Treasury Fee</v>
      </c>
      <c r="AG180" s="42">
        <v>250</v>
      </c>
      <c r="AS180" s="32">
        <f>SUM(AG180:AR180)</f>
        <v>250</v>
      </c>
    </row>
    <row r="181" spans="3:45" ht="13.5" thickBot="1">
      <c r="C181" s="4" t="str">
        <f>C163</f>
        <v>Intercept</v>
      </c>
      <c r="AG181" s="32">
        <f aca="true" t="shared" si="39" ref="AG181:AQ181">20416.67+39446.25</f>
        <v>59862.92</v>
      </c>
      <c r="AH181" s="32">
        <f t="shared" si="39"/>
        <v>59862.92</v>
      </c>
      <c r="AI181" s="32">
        <f t="shared" si="39"/>
        <v>59862.92</v>
      </c>
      <c r="AJ181" s="32">
        <f t="shared" si="39"/>
        <v>59862.92</v>
      </c>
      <c r="AK181" s="32">
        <f t="shared" si="39"/>
        <v>59862.92</v>
      </c>
      <c r="AL181" s="32">
        <f t="shared" si="39"/>
        <v>59862.92</v>
      </c>
      <c r="AM181" s="32">
        <f t="shared" si="39"/>
        <v>59862.92</v>
      </c>
      <c r="AN181" s="32">
        <f t="shared" si="39"/>
        <v>59862.92</v>
      </c>
      <c r="AO181" s="32">
        <f t="shared" si="39"/>
        <v>59862.92</v>
      </c>
      <c r="AP181" s="32">
        <f t="shared" si="39"/>
        <v>59862.92</v>
      </c>
      <c r="AQ181" s="32">
        <f t="shared" si="39"/>
        <v>59862.92</v>
      </c>
      <c r="AR181" s="38">
        <f>21250+38629.58</f>
        <v>59879.58</v>
      </c>
      <c r="AS181" s="32">
        <f>SUM(AG181:AR181)</f>
        <v>718371.7</v>
      </c>
    </row>
    <row r="182" spans="3:45" ht="13.5" thickBot="1">
      <c r="C182" s="6" t="s">
        <v>64</v>
      </c>
      <c r="AG182" s="33">
        <f aca="true" t="shared" si="40" ref="AG182:AS182">SUM(AG179:AG181)</f>
        <v>61031.67</v>
      </c>
      <c r="AH182" s="33">
        <f t="shared" si="40"/>
        <v>60781.67</v>
      </c>
      <c r="AI182" s="33">
        <f t="shared" si="40"/>
        <v>60762.09</v>
      </c>
      <c r="AJ182" s="33">
        <f t="shared" si="40"/>
        <v>60762.09</v>
      </c>
      <c r="AK182" s="33">
        <f t="shared" si="40"/>
        <v>60762.09</v>
      </c>
      <c r="AL182" s="33">
        <f t="shared" si="40"/>
        <v>60762.09</v>
      </c>
      <c r="AM182" s="33">
        <f t="shared" si="40"/>
        <v>60762.09</v>
      </c>
      <c r="AN182" s="33">
        <f t="shared" si="40"/>
        <v>60762.09</v>
      </c>
      <c r="AO182" s="33">
        <f t="shared" si="40"/>
        <v>60762.09</v>
      </c>
      <c r="AP182" s="33">
        <f t="shared" si="40"/>
        <v>60762.09</v>
      </c>
      <c r="AQ182" s="33">
        <f t="shared" si="40"/>
        <v>60762.09</v>
      </c>
      <c r="AR182" s="39">
        <f t="shared" si="40"/>
        <v>60778.75</v>
      </c>
      <c r="AS182" s="44">
        <f t="shared" si="40"/>
        <v>729450.8999999999</v>
      </c>
    </row>
    <row r="183" ht="12.75">
      <c r="C183" s="14"/>
    </row>
    <row r="184" spans="1:3" ht="15.75">
      <c r="A184" s="1">
        <f>A178+1</f>
        <v>22</v>
      </c>
      <c r="C184" s="5" t="s">
        <v>66</v>
      </c>
    </row>
    <row r="185" spans="3:45" ht="12.75">
      <c r="C185" s="4" t="str">
        <f>C167</f>
        <v>Debt Reserve</v>
      </c>
      <c r="AG185" s="32">
        <v>1135.16</v>
      </c>
      <c r="AH185" s="32">
        <v>1135.16</v>
      </c>
      <c r="AI185" s="32">
        <v>1135.16</v>
      </c>
      <c r="AJ185" s="32">
        <v>1135.16</v>
      </c>
      <c r="AK185" s="32">
        <v>1135.16</v>
      </c>
      <c r="AL185" s="32">
        <v>1135.16</v>
      </c>
      <c r="AM185" s="32">
        <v>1135.16</v>
      </c>
      <c r="AN185" s="32">
        <v>1135.16</v>
      </c>
      <c r="AO185" s="32">
        <v>1135.16</v>
      </c>
      <c r="AP185" s="32">
        <v>1135.16</v>
      </c>
      <c r="AQ185" s="32">
        <v>1135.16</v>
      </c>
      <c r="AR185" s="38">
        <v>1091.82</v>
      </c>
      <c r="AS185" s="32">
        <f>SUM(AG185:AR185)</f>
        <v>13578.58</v>
      </c>
    </row>
    <row r="186" spans="3:45" ht="12.75">
      <c r="C186" s="4" t="str">
        <f>C168</f>
        <v>Treasury Fee</v>
      </c>
      <c r="AG186" s="42">
        <v>250</v>
      </c>
      <c r="AS186" s="32">
        <f>SUM(AG186:AR186)</f>
        <v>250</v>
      </c>
    </row>
    <row r="187" spans="3:45" ht="13.5" thickBot="1">
      <c r="C187" s="4" t="str">
        <f>C169</f>
        <v>Intercept</v>
      </c>
      <c r="AG187" s="32">
        <f aca="true" t="shared" si="41" ref="AG187:AQ187">41666.67+56276.04</f>
        <v>97942.70999999999</v>
      </c>
      <c r="AH187" s="32">
        <f t="shared" si="41"/>
        <v>97942.70999999999</v>
      </c>
      <c r="AI187" s="32">
        <f t="shared" si="41"/>
        <v>97942.70999999999</v>
      </c>
      <c r="AJ187" s="32">
        <f t="shared" si="41"/>
        <v>97942.70999999999</v>
      </c>
      <c r="AK187" s="32">
        <f t="shared" si="41"/>
        <v>97942.70999999999</v>
      </c>
      <c r="AL187" s="32">
        <f t="shared" si="41"/>
        <v>97942.70999999999</v>
      </c>
      <c r="AM187" s="32">
        <f t="shared" si="41"/>
        <v>97942.70999999999</v>
      </c>
      <c r="AN187" s="32">
        <f t="shared" si="41"/>
        <v>97942.70999999999</v>
      </c>
      <c r="AO187" s="32">
        <f t="shared" si="41"/>
        <v>97942.70999999999</v>
      </c>
      <c r="AP187" s="32">
        <f t="shared" si="41"/>
        <v>97942.70999999999</v>
      </c>
      <c r="AQ187" s="32">
        <f t="shared" si="41"/>
        <v>97942.70999999999</v>
      </c>
      <c r="AR187" s="38">
        <f>43333.33+54609.38</f>
        <v>97942.70999999999</v>
      </c>
      <c r="AS187" s="32">
        <f>SUM(AG187:AR187)</f>
        <v>1175312.5199999998</v>
      </c>
    </row>
    <row r="188" spans="3:45" ht="13.5" thickBot="1">
      <c r="C188" s="6" t="s">
        <v>67</v>
      </c>
      <c r="AG188" s="33">
        <f aca="true" t="shared" si="42" ref="AG188:AS188">SUM(AG185:AG187)</f>
        <v>99327.87</v>
      </c>
      <c r="AH188" s="33">
        <f t="shared" si="42"/>
        <v>99077.87</v>
      </c>
      <c r="AI188" s="33">
        <f t="shared" si="42"/>
        <v>99077.87</v>
      </c>
      <c r="AJ188" s="33">
        <f t="shared" si="42"/>
        <v>99077.87</v>
      </c>
      <c r="AK188" s="33">
        <f t="shared" si="42"/>
        <v>99077.87</v>
      </c>
      <c r="AL188" s="33">
        <f t="shared" si="42"/>
        <v>99077.87</v>
      </c>
      <c r="AM188" s="33">
        <f t="shared" si="42"/>
        <v>99077.87</v>
      </c>
      <c r="AN188" s="33">
        <f t="shared" si="42"/>
        <v>99077.87</v>
      </c>
      <c r="AO188" s="33">
        <f t="shared" si="42"/>
        <v>99077.87</v>
      </c>
      <c r="AP188" s="33">
        <f t="shared" si="42"/>
        <v>99077.87</v>
      </c>
      <c r="AQ188" s="33">
        <f t="shared" si="42"/>
        <v>99077.87</v>
      </c>
      <c r="AR188" s="39">
        <f t="shared" si="42"/>
        <v>99034.53</v>
      </c>
      <c r="AS188" s="44">
        <f t="shared" si="42"/>
        <v>1189141.0999999999</v>
      </c>
    </row>
    <row r="189" ht="12.75">
      <c r="C189" s="14"/>
    </row>
    <row r="190" spans="1:3" ht="15.75">
      <c r="A190" s="1">
        <f>A184+1</f>
        <v>23</v>
      </c>
      <c r="C190" s="5" t="s">
        <v>68</v>
      </c>
    </row>
    <row r="191" spans="3:45" ht="12.75">
      <c r="C191" s="4" t="str">
        <f>C173</f>
        <v>Debt Reserve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8">
        <v>0</v>
      </c>
      <c r="AS191" s="32">
        <f>SUM(AG191:AR191)</f>
        <v>0</v>
      </c>
    </row>
    <row r="192" spans="3:45" ht="12.75">
      <c r="C192" s="4" t="str">
        <f>C174</f>
        <v>Treasury Fee</v>
      </c>
      <c r="AG192" s="42">
        <v>250</v>
      </c>
      <c r="AS192" s="32">
        <f>SUM(AG192:AR192)</f>
        <v>250</v>
      </c>
    </row>
    <row r="193" spans="3:45" ht="13.5" thickBot="1">
      <c r="C193" s="4" t="str">
        <f>C175</f>
        <v>Intercept</v>
      </c>
      <c r="AG193" s="32">
        <f>10416.67+39123.44</f>
        <v>49540.11</v>
      </c>
      <c r="AH193" s="32">
        <f>10416.67+39123.44</f>
        <v>49540.11</v>
      </c>
      <c r="AI193" s="32">
        <f>10416.67+39123.44</f>
        <v>49540.11</v>
      </c>
      <c r="AJ193" s="32">
        <f>10416.67+39123.44</f>
        <v>49540.11</v>
      </c>
      <c r="AK193" s="32">
        <f>10416.67+39123.44</f>
        <v>49540.11</v>
      </c>
      <c r="AL193" s="32">
        <f>11250+38485.42</f>
        <v>49735.42</v>
      </c>
      <c r="AM193" s="32">
        <f aca="true" t="shared" si="43" ref="AM193:AR193">11250+38485.42</f>
        <v>49735.42</v>
      </c>
      <c r="AN193" s="32">
        <f t="shared" si="43"/>
        <v>49735.42</v>
      </c>
      <c r="AO193" s="32">
        <f t="shared" si="43"/>
        <v>49735.42</v>
      </c>
      <c r="AP193" s="32">
        <f t="shared" si="43"/>
        <v>49735.42</v>
      </c>
      <c r="AQ193" s="32">
        <f t="shared" si="43"/>
        <v>49735.42</v>
      </c>
      <c r="AR193" s="38">
        <f t="shared" si="43"/>
        <v>49735.42</v>
      </c>
      <c r="AS193" s="32">
        <f>SUM(AG193:AR193)</f>
        <v>595848.49</v>
      </c>
    </row>
    <row r="194" spans="3:45" ht="13.5" thickBot="1">
      <c r="C194" s="6" t="s">
        <v>69</v>
      </c>
      <c r="AG194" s="33">
        <f aca="true" t="shared" si="44" ref="AG194:AS194">SUM(AG191:AG193)</f>
        <v>49790.11</v>
      </c>
      <c r="AH194" s="33">
        <f t="shared" si="44"/>
        <v>49540.11</v>
      </c>
      <c r="AI194" s="33">
        <f t="shared" si="44"/>
        <v>49540.11</v>
      </c>
      <c r="AJ194" s="33">
        <f t="shared" si="44"/>
        <v>49540.11</v>
      </c>
      <c r="AK194" s="33">
        <f t="shared" si="44"/>
        <v>49540.11</v>
      </c>
      <c r="AL194" s="33">
        <f t="shared" si="44"/>
        <v>49735.42</v>
      </c>
      <c r="AM194" s="33">
        <f t="shared" si="44"/>
        <v>49735.42</v>
      </c>
      <c r="AN194" s="33">
        <f t="shared" si="44"/>
        <v>49735.42</v>
      </c>
      <c r="AO194" s="33">
        <f t="shared" si="44"/>
        <v>49735.42</v>
      </c>
      <c r="AP194" s="33">
        <f t="shared" si="44"/>
        <v>49735.42</v>
      </c>
      <c r="AQ194" s="33">
        <f t="shared" si="44"/>
        <v>49735.42</v>
      </c>
      <c r="AR194" s="39">
        <f t="shared" si="44"/>
        <v>49735.42</v>
      </c>
      <c r="AS194" s="44">
        <f t="shared" si="44"/>
        <v>596098.49</v>
      </c>
    </row>
    <row r="195" ht="12.75">
      <c r="C195" s="14"/>
    </row>
    <row r="196" spans="1:3" ht="15.75">
      <c r="A196" s="1">
        <f>A190+1</f>
        <v>24</v>
      </c>
      <c r="C196" s="5" t="s">
        <v>70</v>
      </c>
    </row>
    <row r="197" spans="3:45" ht="12.75">
      <c r="C197" s="4" t="str">
        <f>C179</f>
        <v>Debt Reserve</v>
      </c>
      <c r="AG197" s="32">
        <v>769.58</v>
      </c>
      <c r="AH197" s="32">
        <v>769.58</v>
      </c>
      <c r="AI197" s="32">
        <v>769.58</v>
      </c>
      <c r="AJ197" s="32">
        <v>769.58</v>
      </c>
      <c r="AK197" s="32">
        <v>754.58</v>
      </c>
      <c r="AL197" s="32">
        <v>754.58</v>
      </c>
      <c r="AM197" s="32">
        <v>754.58</v>
      </c>
      <c r="AN197" s="32">
        <v>754.58</v>
      </c>
      <c r="AO197" s="32">
        <v>754.58</v>
      </c>
      <c r="AP197" s="32">
        <v>754.58</v>
      </c>
      <c r="AQ197" s="32">
        <v>754.58</v>
      </c>
      <c r="AR197" s="38">
        <v>754.58</v>
      </c>
      <c r="AS197" s="32">
        <f>SUM(AG197:AR197)</f>
        <v>9114.960000000001</v>
      </c>
    </row>
    <row r="198" spans="3:45" ht="12.75">
      <c r="C198" s="4" t="str">
        <f>C180</f>
        <v>Treasury Fee</v>
      </c>
      <c r="AG198" s="42">
        <v>250</v>
      </c>
      <c r="AS198" s="32">
        <f>SUM(AG198:AR198)</f>
        <v>250</v>
      </c>
    </row>
    <row r="199" spans="3:45" ht="13.5" thickBot="1">
      <c r="C199" s="4" t="str">
        <f>C181</f>
        <v>Intercept</v>
      </c>
      <c r="AG199" s="32">
        <f>15000+33434.38</f>
        <v>48434.38</v>
      </c>
      <c r="AH199" s="32">
        <f>15000+33434.38</f>
        <v>48434.38</v>
      </c>
      <c r="AI199" s="32">
        <f>15000+33434.38</f>
        <v>48434.38</v>
      </c>
      <c r="AJ199" s="32">
        <f>15416.67+32834.38</f>
        <v>48251.049999999996</v>
      </c>
      <c r="AK199" s="32">
        <f aca="true" t="shared" si="45" ref="AK199:AR199">15416.67+32834.38</f>
        <v>48251.049999999996</v>
      </c>
      <c r="AL199" s="32">
        <f t="shared" si="45"/>
        <v>48251.049999999996</v>
      </c>
      <c r="AM199" s="32">
        <f t="shared" si="45"/>
        <v>48251.049999999996</v>
      </c>
      <c r="AN199" s="32">
        <f t="shared" si="45"/>
        <v>48251.049999999996</v>
      </c>
      <c r="AO199" s="32">
        <f t="shared" si="45"/>
        <v>48251.049999999996</v>
      </c>
      <c r="AP199" s="32">
        <f t="shared" si="45"/>
        <v>48251.049999999996</v>
      </c>
      <c r="AQ199" s="32">
        <f t="shared" si="45"/>
        <v>48251.049999999996</v>
      </c>
      <c r="AR199" s="38">
        <f t="shared" si="45"/>
        <v>48251.049999999996</v>
      </c>
      <c r="AS199" s="32">
        <f>SUM(AG199:AR199)</f>
        <v>579562.59</v>
      </c>
    </row>
    <row r="200" spans="3:45" ht="13.5" thickBot="1">
      <c r="C200" s="6" t="s">
        <v>71</v>
      </c>
      <c r="AG200" s="33">
        <f aca="true" t="shared" si="46" ref="AG200:AS200">SUM(AG197:AG199)</f>
        <v>49453.96</v>
      </c>
      <c r="AH200" s="33">
        <f t="shared" si="46"/>
        <v>49203.96</v>
      </c>
      <c r="AI200" s="33">
        <f t="shared" si="46"/>
        <v>49203.96</v>
      </c>
      <c r="AJ200" s="33">
        <f t="shared" si="46"/>
        <v>49020.63</v>
      </c>
      <c r="AK200" s="33">
        <f t="shared" si="46"/>
        <v>49005.63</v>
      </c>
      <c r="AL200" s="33">
        <f t="shared" si="46"/>
        <v>49005.63</v>
      </c>
      <c r="AM200" s="33">
        <f t="shared" si="46"/>
        <v>49005.63</v>
      </c>
      <c r="AN200" s="33">
        <f t="shared" si="46"/>
        <v>49005.63</v>
      </c>
      <c r="AO200" s="33">
        <f t="shared" si="46"/>
        <v>49005.63</v>
      </c>
      <c r="AP200" s="33">
        <f t="shared" si="46"/>
        <v>49005.63</v>
      </c>
      <c r="AQ200" s="33">
        <f t="shared" si="46"/>
        <v>49005.63</v>
      </c>
      <c r="AR200" s="39">
        <f t="shared" si="46"/>
        <v>49005.63</v>
      </c>
      <c r="AS200" s="44">
        <f t="shared" si="46"/>
        <v>588927.5499999999</v>
      </c>
    </row>
    <row r="201" ht="12.75">
      <c r="C201" s="14"/>
    </row>
    <row r="202" spans="1:3" ht="15.75">
      <c r="A202" s="1">
        <f>A196+1</f>
        <v>25</v>
      </c>
      <c r="C202" s="5" t="s">
        <v>142</v>
      </c>
    </row>
    <row r="203" spans="3:45" ht="12.75">
      <c r="C203" s="4" t="str">
        <f>C185</f>
        <v>Debt Reserve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0</v>
      </c>
      <c r="AP203" s="32">
        <v>0</v>
      </c>
      <c r="AQ203" s="32">
        <v>0</v>
      </c>
      <c r="AR203" s="38">
        <v>0</v>
      </c>
      <c r="AS203" s="32">
        <f>SUM(AG203:AR203)</f>
        <v>0</v>
      </c>
    </row>
    <row r="204" spans="3:45" ht="12.75">
      <c r="C204" s="4" t="str">
        <f>C186</f>
        <v>Treasury Fee</v>
      </c>
      <c r="AG204" s="42">
        <v>250</v>
      </c>
      <c r="AS204" s="32">
        <f>SUM(AG204:AR204)</f>
        <v>250</v>
      </c>
    </row>
    <row r="205" spans="3:45" ht="13.5" thickBot="1">
      <c r="C205" s="4" t="str">
        <f>C187</f>
        <v>Intercept</v>
      </c>
      <c r="AG205" s="32">
        <v>49900</v>
      </c>
      <c r="AH205" s="32">
        <v>49900</v>
      </c>
      <c r="AI205" s="32">
        <v>49900</v>
      </c>
      <c r="AJ205" s="32">
        <v>49900</v>
      </c>
      <c r="AK205" s="32">
        <v>49900</v>
      </c>
      <c r="AL205" s="32">
        <v>49900</v>
      </c>
      <c r="AM205" s="32">
        <v>49900</v>
      </c>
      <c r="AN205" s="32">
        <v>49900</v>
      </c>
      <c r="AO205" s="42">
        <f>13571.43+49900</f>
        <v>63471.43</v>
      </c>
      <c r="AP205" s="42">
        <f>13571.43+49900</f>
        <v>63471.43</v>
      </c>
      <c r="AQ205" s="42">
        <f>13571.43+49900</f>
        <v>63471.43</v>
      </c>
      <c r="AR205" s="46">
        <f>13571.43+49900</f>
        <v>63471.43</v>
      </c>
      <c r="AS205" s="32">
        <f>SUM(AG205:AR205)</f>
        <v>653085.7200000001</v>
      </c>
    </row>
    <row r="206" spans="3:45" ht="13.5" thickBot="1">
      <c r="C206" s="6" t="s">
        <v>72</v>
      </c>
      <c r="AG206" s="33">
        <f aca="true" t="shared" si="47" ref="AG206:AS206">SUM(AG203:AG205)</f>
        <v>50150</v>
      </c>
      <c r="AH206" s="33">
        <f t="shared" si="47"/>
        <v>49900</v>
      </c>
      <c r="AI206" s="33">
        <f t="shared" si="47"/>
        <v>49900</v>
      </c>
      <c r="AJ206" s="33">
        <f t="shared" si="47"/>
        <v>49900</v>
      </c>
      <c r="AK206" s="33">
        <f t="shared" si="47"/>
        <v>49900</v>
      </c>
      <c r="AL206" s="33">
        <f t="shared" si="47"/>
        <v>49900</v>
      </c>
      <c r="AM206" s="33">
        <f t="shared" si="47"/>
        <v>49900</v>
      </c>
      <c r="AN206" s="33">
        <f t="shared" si="47"/>
        <v>49900</v>
      </c>
      <c r="AO206" s="33">
        <f t="shared" si="47"/>
        <v>63471.43</v>
      </c>
      <c r="AP206" s="33">
        <f t="shared" si="47"/>
        <v>63471.43</v>
      </c>
      <c r="AQ206" s="33">
        <f t="shared" si="47"/>
        <v>63471.43</v>
      </c>
      <c r="AR206" s="39">
        <f t="shared" si="47"/>
        <v>63471.43</v>
      </c>
      <c r="AS206" s="44">
        <f t="shared" si="47"/>
        <v>653335.7200000001</v>
      </c>
    </row>
    <row r="207" ht="12.75">
      <c r="C207" s="14"/>
    </row>
    <row r="208" spans="1:3" ht="15.75">
      <c r="A208" s="1">
        <f>A202+1</f>
        <v>26</v>
      </c>
      <c r="C208" s="5" t="s">
        <v>73</v>
      </c>
    </row>
    <row r="209" spans="3:45" ht="12.75">
      <c r="C209" s="4" t="str">
        <f>C191</f>
        <v>Debt Reserve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8">
        <v>0</v>
      </c>
      <c r="AS209" s="32">
        <f>SUM(AG209:AR209)</f>
        <v>0</v>
      </c>
    </row>
    <row r="210" spans="3:45" ht="12.75">
      <c r="C210" s="4" t="str">
        <f>C192</f>
        <v>Treasury Fee</v>
      </c>
      <c r="AG210" s="42">
        <v>250</v>
      </c>
      <c r="AS210" s="32">
        <f>SUM(AG210:AR210)</f>
        <v>250</v>
      </c>
    </row>
    <row r="211" spans="3:45" ht="13.5" thickBot="1">
      <c r="C211" s="4" t="str">
        <f>C193</f>
        <v>Intercept</v>
      </c>
      <c r="AG211" s="32">
        <f aca="true" t="shared" si="48" ref="AG211:AP211">11666.67+32077.92</f>
        <v>43744.59</v>
      </c>
      <c r="AH211" s="32">
        <f t="shared" si="48"/>
        <v>43744.59</v>
      </c>
      <c r="AI211" s="32">
        <f t="shared" si="48"/>
        <v>43744.59</v>
      </c>
      <c r="AJ211" s="32">
        <f t="shared" si="48"/>
        <v>43744.59</v>
      </c>
      <c r="AK211" s="32">
        <f t="shared" si="48"/>
        <v>43744.59</v>
      </c>
      <c r="AL211" s="32">
        <f t="shared" si="48"/>
        <v>43744.59</v>
      </c>
      <c r="AM211" s="32">
        <f t="shared" si="48"/>
        <v>43744.59</v>
      </c>
      <c r="AN211" s="32">
        <f t="shared" si="48"/>
        <v>43744.59</v>
      </c>
      <c r="AO211" s="32">
        <f t="shared" si="48"/>
        <v>43744.59</v>
      </c>
      <c r="AP211" s="32">
        <f t="shared" si="48"/>
        <v>43744.59</v>
      </c>
      <c r="AQ211" s="32">
        <f>12083.33+31447.92</f>
        <v>43531.25</v>
      </c>
      <c r="AR211" s="38">
        <f>12083.33+31447.92</f>
        <v>43531.25</v>
      </c>
      <c r="AS211" s="32">
        <f>SUM(AG211:AR211)</f>
        <v>524508.3999999999</v>
      </c>
    </row>
    <row r="212" spans="3:45" ht="13.5" thickBot="1">
      <c r="C212" s="6" t="s">
        <v>20</v>
      </c>
      <c r="AG212" s="33">
        <f aca="true" t="shared" si="49" ref="AG212:AS212">SUM(AG209:AG211)</f>
        <v>43994.59</v>
      </c>
      <c r="AH212" s="33">
        <f t="shared" si="49"/>
        <v>43744.59</v>
      </c>
      <c r="AI212" s="33">
        <f t="shared" si="49"/>
        <v>43744.59</v>
      </c>
      <c r="AJ212" s="33">
        <f t="shared" si="49"/>
        <v>43744.59</v>
      </c>
      <c r="AK212" s="33">
        <f t="shared" si="49"/>
        <v>43744.59</v>
      </c>
      <c r="AL212" s="33">
        <f t="shared" si="49"/>
        <v>43744.59</v>
      </c>
      <c r="AM212" s="33">
        <f t="shared" si="49"/>
        <v>43744.59</v>
      </c>
      <c r="AN212" s="33">
        <f t="shared" si="49"/>
        <v>43744.59</v>
      </c>
      <c r="AO212" s="33">
        <f t="shared" si="49"/>
        <v>43744.59</v>
      </c>
      <c r="AP212" s="33">
        <f t="shared" si="49"/>
        <v>43744.59</v>
      </c>
      <c r="AQ212" s="33">
        <f t="shared" si="49"/>
        <v>43531.25</v>
      </c>
      <c r="AR212" s="39">
        <f t="shared" si="49"/>
        <v>43531.25</v>
      </c>
      <c r="AS212" s="44">
        <f t="shared" si="49"/>
        <v>524758.3999999999</v>
      </c>
    </row>
    <row r="213" ht="12.75">
      <c r="C213" s="14"/>
    </row>
    <row r="214" spans="1:3" ht="15.75">
      <c r="A214" s="1">
        <f>A208+1</f>
        <v>27</v>
      </c>
      <c r="C214" s="5" t="s">
        <v>74</v>
      </c>
    </row>
    <row r="215" spans="3:45" ht="12.75">
      <c r="C215" s="4" t="str">
        <f>C197</f>
        <v>Debt Reserve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0</v>
      </c>
      <c r="AP215" s="32">
        <v>0</v>
      </c>
      <c r="AQ215" s="32">
        <v>0</v>
      </c>
      <c r="AR215" s="38">
        <v>0</v>
      </c>
      <c r="AS215" s="32">
        <f>SUM(AG215:AR215)</f>
        <v>0</v>
      </c>
    </row>
    <row r="216" spans="3:45" ht="12.75">
      <c r="C216" s="4" t="str">
        <f>C198</f>
        <v>Treasury Fee</v>
      </c>
      <c r="AG216" s="42">
        <v>250</v>
      </c>
      <c r="AS216" s="32">
        <f>SUM(AG216:AR216)</f>
        <v>250</v>
      </c>
    </row>
    <row r="217" spans="3:45" ht="13.5" thickBot="1">
      <c r="C217" s="4" t="str">
        <f>C199</f>
        <v>Intercept</v>
      </c>
      <c r="AG217" s="32">
        <f>7083.33+23437.5</f>
        <v>30520.83</v>
      </c>
      <c r="AH217" s="32">
        <f>7083.33+23437.5</f>
        <v>30520.83</v>
      </c>
      <c r="AI217" s="32">
        <f>7083.33+23437.5</f>
        <v>30520.83</v>
      </c>
      <c r="AJ217" s="32">
        <f>7083.33+23437.5</f>
        <v>30520.83</v>
      </c>
      <c r="AK217" s="32">
        <f>7500+23039.06</f>
        <v>30539.06</v>
      </c>
      <c r="AL217" s="32">
        <f aca="true" t="shared" si="50" ref="AL217:AR217">7500+23039.06</f>
        <v>30539.06</v>
      </c>
      <c r="AM217" s="32">
        <f t="shared" si="50"/>
        <v>30539.06</v>
      </c>
      <c r="AN217" s="32">
        <f t="shared" si="50"/>
        <v>30539.06</v>
      </c>
      <c r="AO217" s="32">
        <f t="shared" si="50"/>
        <v>30539.06</v>
      </c>
      <c r="AP217" s="32">
        <f t="shared" si="50"/>
        <v>30539.06</v>
      </c>
      <c r="AQ217" s="32">
        <f t="shared" si="50"/>
        <v>30539.06</v>
      </c>
      <c r="AR217" s="38">
        <f t="shared" si="50"/>
        <v>30539.06</v>
      </c>
      <c r="AS217" s="32">
        <f>SUM(AG217:AR217)</f>
        <v>366395.8</v>
      </c>
    </row>
    <row r="218" spans="3:45" ht="13.5" thickBot="1">
      <c r="C218" s="6" t="s">
        <v>75</v>
      </c>
      <c r="AG218" s="33">
        <f aca="true" t="shared" si="51" ref="AG218:AS218">SUM(AG215:AG217)</f>
        <v>30770.83</v>
      </c>
      <c r="AH218" s="33">
        <f t="shared" si="51"/>
        <v>30520.83</v>
      </c>
      <c r="AI218" s="33">
        <f t="shared" si="51"/>
        <v>30520.83</v>
      </c>
      <c r="AJ218" s="33">
        <f t="shared" si="51"/>
        <v>30520.83</v>
      </c>
      <c r="AK218" s="33">
        <f t="shared" si="51"/>
        <v>30539.06</v>
      </c>
      <c r="AL218" s="33">
        <f t="shared" si="51"/>
        <v>30539.06</v>
      </c>
      <c r="AM218" s="33">
        <f t="shared" si="51"/>
        <v>30539.06</v>
      </c>
      <c r="AN218" s="33">
        <f t="shared" si="51"/>
        <v>30539.06</v>
      </c>
      <c r="AO218" s="33">
        <f t="shared" si="51"/>
        <v>30539.06</v>
      </c>
      <c r="AP218" s="33">
        <f t="shared" si="51"/>
        <v>30539.06</v>
      </c>
      <c r="AQ218" s="33">
        <f t="shared" si="51"/>
        <v>30539.06</v>
      </c>
      <c r="AR218" s="39">
        <f t="shared" si="51"/>
        <v>30539.06</v>
      </c>
      <c r="AS218" s="44">
        <f t="shared" si="51"/>
        <v>366645.8</v>
      </c>
    </row>
    <row r="219" ht="12.75">
      <c r="C219" s="14"/>
    </row>
    <row r="220" spans="1:3" ht="15.75">
      <c r="A220" s="1">
        <f>A214+1</f>
        <v>28</v>
      </c>
      <c r="C220" s="5" t="s">
        <v>76</v>
      </c>
    </row>
    <row r="221" spans="3:45" ht="12.75">
      <c r="C221" s="4" t="str">
        <f>C203</f>
        <v>Debt Reserve</v>
      </c>
      <c r="AG221" s="32">
        <v>418.04</v>
      </c>
      <c r="AH221" s="32">
        <v>418.04</v>
      </c>
      <c r="AI221" s="32">
        <v>418.04</v>
      </c>
      <c r="AJ221" s="32">
        <v>418.04</v>
      </c>
      <c r="AK221" s="32">
        <v>418.04</v>
      </c>
      <c r="AL221" s="32">
        <v>418.04</v>
      </c>
      <c r="AM221" s="32">
        <v>408.06</v>
      </c>
      <c r="AN221" s="32">
        <v>408.06</v>
      </c>
      <c r="AO221" s="32">
        <v>408.06</v>
      </c>
      <c r="AP221" s="32">
        <v>408.06</v>
      </c>
      <c r="AQ221" s="32">
        <v>408.06</v>
      </c>
      <c r="AR221" s="38">
        <v>408.06</v>
      </c>
      <c r="AS221" s="32">
        <f>SUM(AG221:AR221)</f>
        <v>4956.600000000001</v>
      </c>
    </row>
    <row r="222" spans="3:45" ht="12.75">
      <c r="C222" s="4" t="str">
        <f>C204</f>
        <v>Treasury Fee</v>
      </c>
      <c r="AG222" s="42">
        <v>250</v>
      </c>
      <c r="AS222" s="32">
        <f>SUM(AG222:AR222)</f>
        <v>250</v>
      </c>
    </row>
    <row r="223" spans="3:45" ht="13.5" thickBot="1">
      <c r="C223" s="4" t="str">
        <f>C205</f>
        <v>Intercept</v>
      </c>
      <c r="AG223" s="32">
        <f>10000+17639.38</f>
        <v>27639.38</v>
      </c>
      <c r="AH223" s="32">
        <f>10000+17639.38</f>
        <v>27639.38</v>
      </c>
      <c r="AI223" s="32">
        <f>10000+17639.38</f>
        <v>27639.38</v>
      </c>
      <c r="AJ223" s="32">
        <f>10000+17639.38</f>
        <v>27639.38</v>
      </c>
      <c r="AK223" s="32">
        <f>10000+17639.38</f>
        <v>27639.38</v>
      </c>
      <c r="AL223" s="32">
        <f>10416.67+17264.38</f>
        <v>27681.050000000003</v>
      </c>
      <c r="AM223" s="32">
        <f aca="true" t="shared" si="52" ref="AM223:AR223">10416.67+17264.38</f>
        <v>27681.050000000003</v>
      </c>
      <c r="AN223" s="32">
        <f t="shared" si="52"/>
        <v>27681.050000000003</v>
      </c>
      <c r="AO223" s="32">
        <f t="shared" si="52"/>
        <v>27681.050000000003</v>
      </c>
      <c r="AP223" s="32">
        <f t="shared" si="52"/>
        <v>27681.050000000003</v>
      </c>
      <c r="AQ223" s="32">
        <f t="shared" si="52"/>
        <v>27681.050000000003</v>
      </c>
      <c r="AR223" s="38">
        <f t="shared" si="52"/>
        <v>27681.050000000003</v>
      </c>
      <c r="AS223" s="32">
        <f>SUM(AG223:AR223)</f>
        <v>331964.24999999994</v>
      </c>
    </row>
    <row r="224" spans="3:45" ht="13.5" thickBot="1">
      <c r="C224" s="6" t="s">
        <v>77</v>
      </c>
      <c r="AG224" s="33">
        <f aca="true" t="shared" si="53" ref="AG224:AS224">SUM(AG221:AG223)</f>
        <v>28307.420000000002</v>
      </c>
      <c r="AH224" s="33">
        <f t="shared" si="53"/>
        <v>28057.420000000002</v>
      </c>
      <c r="AI224" s="33">
        <f t="shared" si="53"/>
        <v>28057.420000000002</v>
      </c>
      <c r="AJ224" s="33">
        <f t="shared" si="53"/>
        <v>28057.420000000002</v>
      </c>
      <c r="AK224" s="33">
        <f t="shared" si="53"/>
        <v>28057.420000000002</v>
      </c>
      <c r="AL224" s="33">
        <f t="shared" si="53"/>
        <v>28099.090000000004</v>
      </c>
      <c r="AM224" s="33">
        <f t="shared" si="53"/>
        <v>28089.110000000004</v>
      </c>
      <c r="AN224" s="33">
        <f t="shared" si="53"/>
        <v>28089.110000000004</v>
      </c>
      <c r="AO224" s="33">
        <f t="shared" si="53"/>
        <v>28089.110000000004</v>
      </c>
      <c r="AP224" s="33">
        <f t="shared" si="53"/>
        <v>28089.110000000004</v>
      </c>
      <c r="AQ224" s="33">
        <f t="shared" si="53"/>
        <v>28089.110000000004</v>
      </c>
      <c r="AR224" s="39">
        <f t="shared" si="53"/>
        <v>28089.110000000004</v>
      </c>
      <c r="AS224" s="44">
        <f t="shared" si="53"/>
        <v>337170.8499999999</v>
      </c>
    </row>
    <row r="225" spans="3:45" ht="12.75">
      <c r="C225" s="14"/>
      <c r="AS225" s="34"/>
    </row>
    <row r="226" spans="1:3" ht="15.75">
      <c r="A226" s="1">
        <f>A220+1</f>
        <v>29</v>
      </c>
      <c r="C226" s="15" t="s">
        <v>78</v>
      </c>
    </row>
    <row r="227" spans="3:45" ht="12.75">
      <c r="C227" s="4" t="str">
        <f>C209</f>
        <v>Debt Reserve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8">
        <v>0</v>
      </c>
      <c r="AS227" s="32">
        <f>SUM(AG227:AR227)</f>
        <v>0</v>
      </c>
    </row>
    <row r="228" spans="3:45" ht="12.75">
      <c r="C228" s="4" t="str">
        <f>C210</f>
        <v>Treasury Fee</v>
      </c>
      <c r="AG228" s="42">
        <v>250</v>
      </c>
      <c r="AS228" s="32">
        <f>SUM(AG228:AR228)</f>
        <v>250</v>
      </c>
    </row>
    <row r="229" spans="3:45" ht="13.5" thickBot="1">
      <c r="C229" s="4" t="str">
        <f>C211</f>
        <v>Intercept</v>
      </c>
      <c r="AG229" s="32">
        <f>6250+22736.46</f>
        <v>28986.46</v>
      </c>
      <c r="AH229" s="32">
        <f>6250+22736.46</f>
        <v>28986.46</v>
      </c>
      <c r="AI229" s="32">
        <f>6250+22736.46</f>
        <v>28986.46</v>
      </c>
      <c r="AJ229" s="32">
        <f>6250+22736.46</f>
        <v>28986.46</v>
      </c>
      <c r="AK229" s="32">
        <f>6250+22736.46</f>
        <v>28986.46</v>
      </c>
      <c r="AL229" s="32">
        <f>6666.67+22377.08</f>
        <v>29043.75</v>
      </c>
      <c r="AM229" s="32">
        <f aca="true" t="shared" si="54" ref="AM229:AR229">6666.67+22377.08</f>
        <v>29043.75</v>
      </c>
      <c r="AN229" s="32">
        <f t="shared" si="54"/>
        <v>29043.75</v>
      </c>
      <c r="AO229" s="32">
        <f t="shared" si="54"/>
        <v>29043.75</v>
      </c>
      <c r="AP229" s="32">
        <f t="shared" si="54"/>
        <v>29043.75</v>
      </c>
      <c r="AQ229" s="32">
        <f t="shared" si="54"/>
        <v>29043.75</v>
      </c>
      <c r="AR229" s="38">
        <f t="shared" si="54"/>
        <v>29043.75</v>
      </c>
      <c r="AS229" s="32">
        <f>SUM(AG229:AR229)</f>
        <v>348238.55</v>
      </c>
    </row>
    <row r="230" spans="3:45" ht="13.5" thickBot="1">
      <c r="C230" s="16" t="s">
        <v>79</v>
      </c>
      <c r="AG230" s="33">
        <f aca="true" t="shared" si="55" ref="AG230:AS230">SUM(AG227:AG229)</f>
        <v>29236.46</v>
      </c>
      <c r="AH230" s="33">
        <f t="shared" si="55"/>
        <v>28986.46</v>
      </c>
      <c r="AI230" s="33">
        <f t="shared" si="55"/>
        <v>28986.46</v>
      </c>
      <c r="AJ230" s="33">
        <f t="shared" si="55"/>
        <v>28986.46</v>
      </c>
      <c r="AK230" s="33">
        <f t="shared" si="55"/>
        <v>28986.46</v>
      </c>
      <c r="AL230" s="33">
        <f t="shared" si="55"/>
        <v>29043.75</v>
      </c>
      <c r="AM230" s="33">
        <f t="shared" si="55"/>
        <v>29043.75</v>
      </c>
      <c r="AN230" s="33">
        <f t="shared" si="55"/>
        <v>29043.75</v>
      </c>
      <c r="AO230" s="33">
        <f t="shared" si="55"/>
        <v>29043.75</v>
      </c>
      <c r="AP230" s="33">
        <f t="shared" si="55"/>
        <v>29043.75</v>
      </c>
      <c r="AQ230" s="33">
        <f t="shared" si="55"/>
        <v>29043.75</v>
      </c>
      <c r="AR230" s="39">
        <f t="shared" si="55"/>
        <v>29043.75</v>
      </c>
      <c r="AS230" s="44">
        <f t="shared" si="55"/>
        <v>348488.55</v>
      </c>
    </row>
    <row r="231" spans="3:45" ht="12.75">
      <c r="C231" s="14"/>
      <c r="AS231" s="34"/>
    </row>
    <row r="232" spans="1:3" ht="15.75">
      <c r="A232" s="1">
        <f>A226+1</f>
        <v>30</v>
      </c>
      <c r="C232" s="15" t="s">
        <v>80</v>
      </c>
    </row>
    <row r="233" spans="3:45" ht="12.75">
      <c r="C233" s="4" t="str">
        <f>C221</f>
        <v>Debt Reserve</v>
      </c>
      <c r="AG233" s="32">
        <v>1249.17</v>
      </c>
      <c r="AH233" s="32">
        <v>1249.17</v>
      </c>
      <c r="AI233" s="32">
        <v>1249.17</v>
      </c>
      <c r="AJ233" s="32">
        <v>1249.17</v>
      </c>
      <c r="AK233" s="32">
        <v>1249.17</v>
      </c>
      <c r="AL233" s="32">
        <v>1249.17</v>
      </c>
      <c r="AM233" s="32">
        <v>1249.17</v>
      </c>
      <c r="AN233" s="32">
        <v>1249.17</v>
      </c>
      <c r="AO233" s="32">
        <v>1249.17</v>
      </c>
      <c r="AP233" s="32">
        <v>1223.33</v>
      </c>
      <c r="AQ233" s="32">
        <v>1223.33</v>
      </c>
      <c r="AR233" s="38">
        <v>1223.33</v>
      </c>
      <c r="AS233" s="32">
        <f>SUM(AG233:AR233)</f>
        <v>14912.52</v>
      </c>
    </row>
    <row r="234" spans="3:45" ht="12.75">
      <c r="C234" s="4" t="str">
        <f>C222</f>
        <v>Treasury Fee</v>
      </c>
      <c r="AG234" s="42">
        <v>250</v>
      </c>
      <c r="AS234" s="32">
        <f>SUM(AG234:AR234)</f>
        <v>250</v>
      </c>
    </row>
    <row r="235" spans="3:45" ht="13.5" thickBot="1">
      <c r="C235" s="4" t="str">
        <f>C223</f>
        <v>Intercept</v>
      </c>
      <c r="AG235" s="32">
        <f>25833.33+54146.36</f>
        <v>79979.69</v>
      </c>
      <c r="AH235" s="32">
        <f>26666.67+53113.02</f>
        <v>79779.69</v>
      </c>
      <c r="AI235" s="32">
        <f aca="true" t="shared" si="56" ref="AI235:AR235">26666.67+53113.02</f>
        <v>79779.69</v>
      </c>
      <c r="AJ235" s="32">
        <f t="shared" si="56"/>
        <v>79779.69</v>
      </c>
      <c r="AK235" s="32">
        <f t="shared" si="56"/>
        <v>79779.69</v>
      </c>
      <c r="AL235" s="32">
        <f t="shared" si="56"/>
        <v>79779.69</v>
      </c>
      <c r="AM235" s="32">
        <f t="shared" si="56"/>
        <v>79779.69</v>
      </c>
      <c r="AN235" s="32">
        <f t="shared" si="56"/>
        <v>79779.69</v>
      </c>
      <c r="AO235" s="32">
        <f t="shared" si="56"/>
        <v>79779.69</v>
      </c>
      <c r="AP235" s="32">
        <f t="shared" si="56"/>
        <v>79779.69</v>
      </c>
      <c r="AQ235" s="32">
        <f t="shared" si="56"/>
        <v>79779.69</v>
      </c>
      <c r="AR235" s="38">
        <f t="shared" si="56"/>
        <v>79779.69</v>
      </c>
      <c r="AS235" s="32">
        <f>SUM(AG235:AR235)</f>
        <v>957556.2799999998</v>
      </c>
    </row>
    <row r="236" spans="3:45" ht="13.5" thickBot="1">
      <c r="C236" s="16" t="s">
        <v>81</v>
      </c>
      <c r="AG236" s="33">
        <f aca="true" t="shared" si="57" ref="AG236:AS236">SUM(AG233:AG235)</f>
        <v>81478.86</v>
      </c>
      <c r="AH236" s="33">
        <f t="shared" si="57"/>
        <v>81028.86</v>
      </c>
      <c r="AI236" s="33">
        <f t="shared" si="57"/>
        <v>81028.86</v>
      </c>
      <c r="AJ236" s="33">
        <f t="shared" si="57"/>
        <v>81028.86</v>
      </c>
      <c r="AK236" s="33">
        <f t="shared" si="57"/>
        <v>81028.86</v>
      </c>
      <c r="AL236" s="33">
        <f t="shared" si="57"/>
        <v>81028.86</v>
      </c>
      <c r="AM236" s="33">
        <f t="shared" si="57"/>
        <v>81028.86</v>
      </c>
      <c r="AN236" s="33">
        <f t="shared" si="57"/>
        <v>81028.86</v>
      </c>
      <c r="AO236" s="33">
        <f t="shared" si="57"/>
        <v>81028.86</v>
      </c>
      <c r="AP236" s="33">
        <f t="shared" si="57"/>
        <v>81003.02</v>
      </c>
      <c r="AQ236" s="33">
        <f t="shared" si="57"/>
        <v>81003.02</v>
      </c>
      <c r="AR236" s="39">
        <f t="shared" si="57"/>
        <v>81003.02</v>
      </c>
      <c r="AS236" s="44">
        <f t="shared" si="57"/>
        <v>972718.7999999998</v>
      </c>
    </row>
    <row r="237" spans="3:45" ht="12.75">
      <c r="C237" s="14"/>
      <c r="AS237" s="34"/>
    </row>
    <row r="238" spans="1:3" ht="15.75">
      <c r="A238" s="1">
        <f>A232+1</f>
        <v>31</v>
      </c>
      <c r="C238" s="15" t="s">
        <v>82</v>
      </c>
    </row>
    <row r="239" spans="3:45" ht="12.75">
      <c r="C239" s="4" t="str">
        <f>C227</f>
        <v>Debt Reserve</v>
      </c>
      <c r="AG239" s="32">
        <v>716.67</v>
      </c>
      <c r="AH239" s="32">
        <v>716.67</v>
      </c>
      <c r="AI239" s="32">
        <v>716.67</v>
      </c>
      <c r="AJ239" s="32">
        <v>716.67</v>
      </c>
      <c r="AK239" s="32">
        <v>716.67</v>
      </c>
      <c r="AL239" s="32">
        <v>716.67</v>
      </c>
      <c r="AM239" s="32">
        <v>716.67</v>
      </c>
      <c r="AN239" s="32">
        <v>716.67</v>
      </c>
      <c r="AO239" s="32">
        <v>716.67</v>
      </c>
      <c r="AP239" s="32">
        <v>716.67</v>
      </c>
      <c r="AQ239" s="32">
        <v>716.67</v>
      </c>
      <c r="AR239" s="38">
        <v>701.25</v>
      </c>
      <c r="AS239" s="32">
        <f>SUM(AG239:AR239)</f>
        <v>8584.619999999999</v>
      </c>
    </row>
    <row r="240" spans="3:45" ht="12.75">
      <c r="C240" s="4" t="str">
        <f>C228</f>
        <v>Treasury Fee</v>
      </c>
      <c r="AG240" s="42">
        <v>250</v>
      </c>
      <c r="AS240" s="32">
        <f>SUM(AG240:AR240)</f>
        <v>250</v>
      </c>
    </row>
    <row r="241" spans="3:45" ht="13.5" thickBot="1">
      <c r="C241" s="4" t="str">
        <f>C229</f>
        <v>Intercept</v>
      </c>
      <c r="AG241" s="32">
        <f>15416.67+31968.44</f>
        <v>47385.11</v>
      </c>
      <c r="AH241" s="32">
        <f aca="true" t="shared" si="58" ref="AH241:AN241">15416.67+31968.44</f>
        <v>47385.11</v>
      </c>
      <c r="AI241" s="32">
        <f t="shared" si="58"/>
        <v>47385.11</v>
      </c>
      <c r="AJ241" s="32">
        <f t="shared" si="58"/>
        <v>47385.11</v>
      </c>
      <c r="AK241" s="32">
        <f t="shared" si="58"/>
        <v>47385.11</v>
      </c>
      <c r="AL241" s="32">
        <f t="shared" si="58"/>
        <v>47385.11</v>
      </c>
      <c r="AM241" s="32">
        <f t="shared" si="58"/>
        <v>47385.11</v>
      </c>
      <c r="AN241" s="32">
        <f t="shared" si="58"/>
        <v>47385.11</v>
      </c>
      <c r="AO241" s="32">
        <f>16250+31351.77</f>
        <v>47601.770000000004</v>
      </c>
      <c r="AP241" s="32">
        <f>16250+31351.77</f>
        <v>47601.770000000004</v>
      </c>
      <c r="AQ241" s="32">
        <f>16250+31351.77</f>
        <v>47601.770000000004</v>
      </c>
      <c r="AR241" s="38">
        <f>16250+31351.77</f>
        <v>47601.770000000004</v>
      </c>
      <c r="AS241" s="32">
        <f>SUM(AG241:AR241)</f>
        <v>569487.96</v>
      </c>
    </row>
    <row r="242" spans="3:45" ht="13.5" thickBot="1">
      <c r="C242" s="16" t="s">
        <v>83</v>
      </c>
      <c r="AG242" s="33">
        <f aca="true" t="shared" si="59" ref="AG242:AS242">SUM(AG239:AG241)</f>
        <v>48351.78</v>
      </c>
      <c r="AH242" s="33">
        <f t="shared" si="59"/>
        <v>48101.78</v>
      </c>
      <c r="AI242" s="33">
        <f t="shared" si="59"/>
        <v>48101.78</v>
      </c>
      <c r="AJ242" s="33">
        <f t="shared" si="59"/>
        <v>48101.78</v>
      </c>
      <c r="AK242" s="33">
        <f t="shared" si="59"/>
        <v>48101.78</v>
      </c>
      <c r="AL242" s="33">
        <f t="shared" si="59"/>
        <v>48101.78</v>
      </c>
      <c r="AM242" s="33">
        <f t="shared" si="59"/>
        <v>48101.78</v>
      </c>
      <c r="AN242" s="33">
        <f t="shared" si="59"/>
        <v>48101.78</v>
      </c>
      <c r="AO242" s="33">
        <f t="shared" si="59"/>
        <v>48318.44</v>
      </c>
      <c r="AP242" s="33">
        <f t="shared" si="59"/>
        <v>48318.44</v>
      </c>
      <c r="AQ242" s="33">
        <f t="shared" si="59"/>
        <v>48318.44</v>
      </c>
      <c r="AR242" s="39">
        <f t="shared" si="59"/>
        <v>48303.020000000004</v>
      </c>
      <c r="AS242" s="44">
        <f t="shared" si="59"/>
        <v>578322.58</v>
      </c>
    </row>
    <row r="243" spans="3:45" ht="12.75">
      <c r="C243" s="14"/>
      <c r="AS243" s="34"/>
    </row>
    <row r="244" spans="1:45" ht="15.75">
      <c r="A244" s="1" t="s">
        <v>110</v>
      </c>
      <c r="C244" s="15" t="s">
        <v>84</v>
      </c>
      <c r="AS244" s="34"/>
    </row>
    <row r="245" spans="3:45" ht="12.75">
      <c r="C245" s="4" t="str">
        <f>C239</f>
        <v>Debt Reserve</v>
      </c>
      <c r="AG245" s="32">
        <v>498.54</v>
      </c>
      <c r="AH245" s="32">
        <v>498.54</v>
      </c>
      <c r="AI245" s="32">
        <v>498.54</v>
      </c>
      <c r="AJ245" s="32">
        <v>498.54</v>
      </c>
      <c r="AK245" s="32">
        <v>498.54</v>
      </c>
      <c r="AL245" s="32">
        <v>498.54</v>
      </c>
      <c r="AM245" s="32">
        <v>498.54</v>
      </c>
      <c r="AN245" s="32">
        <v>498.54</v>
      </c>
      <c r="AO245" s="32">
        <v>498.54</v>
      </c>
      <c r="AP245" s="32">
        <v>498.54</v>
      </c>
      <c r="AQ245" s="32">
        <v>498.54</v>
      </c>
      <c r="AR245" s="38">
        <v>498.54</v>
      </c>
      <c r="AS245" s="32">
        <f>SUM(AG245:AR245)</f>
        <v>5982.4800000000005</v>
      </c>
    </row>
    <row r="246" spans="3:45" ht="12.75">
      <c r="C246" s="4" t="str">
        <f>C240</f>
        <v>Treasury Fee</v>
      </c>
      <c r="AG246">
        <v>83.33</v>
      </c>
      <c r="AS246" s="32">
        <f>SUM(AG246:AR246)</f>
        <v>83.33</v>
      </c>
    </row>
    <row r="247" spans="3:45" ht="13.5" thickBot="1">
      <c r="C247" s="4" t="str">
        <f>C241</f>
        <v>Intercept</v>
      </c>
      <c r="AG247" s="32">
        <f>9791.67+24035.94</f>
        <v>33827.61</v>
      </c>
      <c r="AH247" s="32">
        <f aca="true" t="shared" si="60" ref="AH247:AR247">9791.67+24035.94</f>
        <v>33827.61</v>
      </c>
      <c r="AI247" s="32">
        <f t="shared" si="60"/>
        <v>33827.61</v>
      </c>
      <c r="AJ247" s="32">
        <f t="shared" si="60"/>
        <v>33827.61</v>
      </c>
      <c r="AK247" s="32">
        <f t="shared" si="60"/>
        <v>33827.61</v>
      </c>
      <c r="AL247" s="32">
        <f t="shared" si="60"/>
        <v>33827.61</v>
      </c>
      <c r="AM247" s="32">
        <f t="shared" si="60"/>
        <v>33827.61</v>
      </c>
      <c r="AN247" s="32">
        <f t="shared" si="60"/>
        <v>33827.61</v>
      </c>
      <c r="AO247" s="32">
        <f t="shared" si="60"/>
        <v>33827.61</v>
      </c>
      <c r="AP247" s="32">
        <f t="shared" si="60"/>
        <v>33827.61</v>
      </c>
      <c r="AQ247" s="32">
        <f t="shared" si="60"/>
        <v>33827.61</v>
      </c>
      <c r="AR247" s="38">
        <f t="shared" si="60"/>
        <v>33827.61</v>
      </c>
      <c r="AS247" s="32">
        <f>SUM(AG247:AR247)</f>
        <v>405931.3199999999</v>
      </c>
    </row>
    <row r="248" spans="3:45" ht="13.5" thickBot="1">
      <c r="C248" s="6" t="s">
        <v>30</v>
      </c>
      <c r="AG248" s="33">
        <f aca="true" t="shared" si="61" ref="AG248:AS248">SUM(AG245:AG247)</f>
        <v>34409.48</v>
      </c>
      <c r="AH248" s="33">
        <f t="shared" si="61"/>
        <v>34326.15</v>
      </c>
      <c r="AI248" s="33">
        <f t="shared" si="61"/>
        <v>34326.15</v>
      </c>
      <c r="AJ248" s="33">
        <f t="shared" si="61"/>
        <v>34326.15</v>
      </c>
      <c r="AK248" s="33">
        <f t="shared" si="61"/>
        <v>34326.15</v>
      </c>
      <c r="AL248" s="33">
        <f t="shared" si="61"/>
        <v>34326.15</v>
      </c>
      <c r="AM248" s="33">
        <f t="shared" si="61"/>
        <v>34326.15</v>
      </c>
      <c r="AN248" s="33">
        <f t="shared" si="61"/>
        <v>34326.15</v>
      </c>
      <c r="AO248" s="33">
        <f t="shared" si="61"/>
        <v>34326.15</v>
      </c>
      <c r="AP248" s="33">
        <f t="shared" si="61"/>
        <v>34326.15</v>
      </c>
      <c r="AQ248" s="33">
        <f t="shared" si="61"/>
        <v>34326.15</v>
      </c>
      <c r="AR248" s="39">
        <f t="shared" si="61"/>
        <v>34326.15</v>
      </c>
      <c r="AS248" s="44">
        <f t="shared" si="61"/>
        <v>411997.1299999999</v>
      </c>
    </row>
    <row r="249" spans="3:45" ht="12.75">
      <c r="C249" s="14"/>
      <c r="AS249" s="34"/>
    </row>
    <row r="250" spans="1:45" ht="15.75">
      <c r="A250" s="1" t="s">
        <v>111</v>
      </c>
      <c r="C250" s="15" t="s">
        <v>85</v>
      </c>
      <c r="AS250" s="34"/>
    </row>
    <row r="251" spans="3:45" ht="12.75">
      <c r="C251" s="4" t="str">
        <f>C245</f>
        <v>Debt Reserve</v>
      </c>
      <c r="AG251" s="32">
        <v>498.54</v>
      </c>
      <c r="AH251" s="32">
        <v>498.54</v>
      </c>
      <c r="AI251" s="32">
        <v>498.54</v>
      </c>
      <c r="AJ251" s="32">
        <v>498.54</v>
      </c>
      <c r="AK251" s="32">
        <v>498.54</v>
      </c>
      <c r="AL251" s="32">
        <v>498.54</v>
      </c>
      <c r="AM251" s="32">
        <v>498.54</v>
      </c>
      <c r="AN251" s="32">
        <v>498.54</v>
      </c>
      <c r="AO251" s="32">
        <v>498.54</v>
      </c>
      <c r="AP251" s="32">
        <v>498.54</v>
      </c>
      <c r="AQ251" s="32">
        <v>498.54</v>
      </c>
      <c r="AR251" s="38">
        <v>498.54</v>
      </c>
      <c r="AS251" s="32">
        <f>SUM(AG251:AR251)</f>
        <v>5982.4800000000005</v>
      </c>
    </row>
    <row r="252" spans="3:45" ht="12.75">
      <c r="C252" s="4" t="str">
        <f>C246</f>
        <v>Treasury Fee</v>
      </c>
      <c r="AG252">
        <v>83.33</v>
      </c>
      <c r="AS252" s="32">
        <f>SUM(AG252:AR252)</f>
        <v>83.33</v>
      </c>
    </row>
    <row r="253" spans="3:45" ht="13.5" thickBot="1">
      <c r="C253" s="4" t="str">
        <f>C247</f>
        <v>Intercept</v>
      </c>
      <c r="AG253" s="32">
        <f>9791.67+24035.94</f>
        <v>33827.61</v>
      </c>
      <c r="AH253" s="32">
        <f aca="true" t="shared" si="62" ref="AH253:AR253">9791.67+24035.94</f>
        <v>33827.61</v>
      </c>
      <c r="AI253" s="32">
        <f t="shared" si="62"/>
        <v>33827.61</v>
      </c>
      <c r="AJ253" s="32">
        <f t="shared" si="62"/>
        <v>33827.61</v>
      </c>
      <c r="AK253" s="32">
        <f t="shared" si="62"/>
        <v>33827.61</v>
      </c>
      <c r="AL253" s="32">
        <f t="shared" si="62"/>
        <v>33827.61</v>
      </c>
      <c r="AM253" s="32">
        <f t="shared" si="62"/>
        <v>33827.61</v>
      </c>
      <c r="AN253" s="32">
        <f t="shared" si="62"/>
        <v>33827.61</v>
      </c>
      <c r="AO253" s="32">
        <f t="shared" si="62"/>
        <v>33827.61</v>
      </c>
      <c r="AP253" s="32">
        <f t="shared" si="62"/>
        <v>33827.61</v>
      </c>
      <c r="AQ253" s="32">
        <f t="shared" si="62"/>
        <v>33827.61</v>
      </c>
      <c r="AR253" s="38">
        <f t="shared" si="62"/>
        <v>33827.61</v>
      </c>
      <c r="AS253" s="32">
        <f>SUM(AG253:AR253)</f>
        <v>405931.3199999999</v>
      </c>
    </row>
    <row r="254" spans="3:45" ht="13.5" thickBot="1">
      <c r="C254" s="6" t="s">
        <v>32</v>
      </c>
      <c r="AG254" s="33">
        <f aca="true" t="shared" si="63" ref="AG254:AS254">SUM(AG251:AG253)</f>
        <v>34409.48</v>
      </c>
      <c r="AH254" s="33">
        <f t="shared" si="63"/>
        <v>34326.15</v>
      </c>
      <c r="AI254" s="33">
        <f t="shared" si="63"/>
        <v>34326.15</v>
      </c>
      <c r="AJ254" s="33">
        <f t="shared" si="63"/>
        <v>34326.15</v>
      </c>
      <c r="AK254" s="33">
        <f t="shared" si="63"/>
        <v>34326.15</v>
      </c>
      <c r="AL254" s="33">
        <f t="shared" si="63"/>
        <v>34326.15</v>
      </c>
      <c r="AM254" s="33">
        <f t="shared" si="63"/>
        <v>34326.15</v>
      </c>
      <c r="AN254" s="33">
        <f t="shared" si="63"/>
        <v>34326.15</v>
      </c>
      <c r="AO254" s="33">
        <f t="shared" si="63"/>
        <v>34326.15</v>
      </c>
      <c r="AP254" s="33">
        <f t="shared" si="63"/>
        <v>34326.15</v>
      </c>
      <c r="AQ254" s="33">
        <f t="shared" si="63"/>
        <v>34326.15</v>
      </c>
      <c r="AR254" s="39">
        <f t="shared" si="63"/>
        <v>34326.15</v>
      </c>
      <c r="AS254" s="44">
        <f t="shared" si="63"/>
        <v>411997.1299999999</v>
      </c>
    </row>
    <row r="255" spans="3:45" ht="12.75">
      <c r="C255" s="14"/>
      <c r="AS255" s="34"/>
    </row>
    <row r="256" spans="1:45" ht="15.75">
      <c r="A256" s="1" t="s">
        <v>112</v>
      </c>
      <c r="C256" s="15" t="s">
        <v>86</v>
      </c>
      <c r="AS256" s="34"/>
    </row>
    <row r="257" spans="3:45" ht="12.75">
      <c r="C257" s="4" t="str">
        <f>C251</f>
        <v>Debt Reserve</v>
      </c>
      <c r="AG257" s="32">
        <v>661.67</v>
      </c>
      <c r="AH257" s="32">
        <v>661.67</v>
      </c>
      <c r="AI257" s="32">
        <v>661.67</v>
      </c>
      <c r="AJ257" s="32">
        <v>661.67</v>
      </c>
      <c r="AK257" s="32">
        <v>661.67</v>
      </c>
      <c r="AL257" s="32">
        <v>661.67</v>
      </c>
      <c r="AM257" s="32">
        <v>661.67</v>
      </c>
      <c r="AN257" s="32">
        <v>661.67</v>
      </c>
      <c r="AO257" s="32">
        <v>661.67</v>
      </c>
      <c r="AP257" s="32">
        <v>661.67</v>
      </c>
      <c r="AQ257" s="32">
        <v>661.67</v>
      </c>
      <c r="AR257" s="38">
        <v>661.67</v>
      </c>
      <c r="AS257" s="32">
        <f>SUM(AG257:AR257)</f>
        <v>7940.04</v>
      </c>
    </row>
    <row r="258" spans="3:45" ht="12.75">
      <c r="C258" s="4" t="str">
        <f>C252</f>
        <v>Treasury Fee</v>
      </c>
      <c r="AG258">
        <v>83.33</v>
      </c>
      <c r="AS258" s="32">
        <f>SUM(AG258:AR258)</f>
        <v>83.33</v>
      </c>
    </row>
    <row r="259" spans="3:45" ht="13.5" thickBot="1">
      <c r="C259" s="4" t="str">
        <f>C253</f>
        <v>Intercept</v>
      </c>
      <c r="AG259" s="32">
        <f>12916.67+31902.61</f>
        <v>44819.28</v>
      </c>
      <c r="AH259" s="32">
        <f aca="true" t="shared" si="64" ref="AH259:AR259">12916.67+31902.61</f>
        <v>44819.28</v>
      </c>
      <c r="AI259" s="32">
        <f t="shared" si="64"/>
        <v>44819.28</v>
      </c>
      <c r="AJ259" s="32">
        <f t="shared" si="64"/>
        <v>44819.28</v>
      </c>
      <c r="AK259" s="32">
        <f t="shared" si="64"/>
        <v>44819.28</v>
      </c>
      <c r="AL259" s="32">
        <f t="shared" si="64"/>
        <v>44819.28</v>
      </c>
      <c r="AM259" s="32">
        <f t="shared" si="64"/>
        <v>44819.28</v>
      </c>
      <c r="AN259" s="32">
        <f t="shared" si="64"/>
        <v>44819.28</v>
      </c>
      <c r="AO259" s="32">
        <f t="shared" si="64"/>
        <v>44819.28</v>
      </c>
      <c r="AP259" s="32">
        <f t="shared" si="64"/>
        <v>44819.28</v>
      </c>
      <c r="AQ259" s="32">
        <f t="shared" si="64"/>
        <v>44819.28</v>
      </c>
      <c r="AR259" s="38">
        <f t="shared" si="64"/>
        <v>44819.28</v>
      </c>
      <c r="AS259" s="32">
        <f>SUM(AG259:AR259)</f>
        <v>537831.3600000001</v>
      </c>
    </row>
    <row r="260" spans="3:45" ht="13.5" thickBot="1">
      <c r="C260" s="16" t="s">
        <v>87</v>
      </c>
      <c r="AG260" s="33">
        <f aca="true" t="shared" si="65" ref="AG260:AS260">SUM(AG257:AG259)</f>
        <v>45564.28</v>
      </c>
      <c r="AH260" s="33">
        <f t="shared" si="65"/>
        <v>45480.95</v>
      </c>
      <c r="AI260" s="33">
        <f t="shared" si="65"/>
        <v>45480.95</v>
      </c>
      <c r="AJ260" s="33">
        <f t="shared" si="65"/>
        <v>45480.95</v>
      </c>
      <c r="AK260" s="33">
        <f t="shared" si="65"/>
        <v>45480.95</v>
      </c>
      <c r="AL260" s="33">
        <f t="shared" si="65"/>
        <v>45480.95</v>
      </c>
      <c r="AM260" s="33">
        <f t="shared" si="65"/>
        <v>45480.95</v>
      </c>
      <c r="AN260" s="33">
        <f t="shared" si="65"/>
        <v>45480.95</v>
      </c>
      <c r="AO260" s="33">
        <f t="shared" si="65"/>
        <v>45480.95</v>
      </c>
      <c r="AP260" s="33">
        <f t="shared" si="65"/>
        <v>45480.95</v>
      </c>
      <c r="AQ260" s="33">
        <f t="shared" si="65"/>
        <v>45480.95</v>
      </c>
      <c r="AR260" s="39">
        <f t="shared" si="65"/>
        <v>45480.95</v>
      </c>
      <c r="AS260" s="44">
        <f t="shared" si="65"/>
        <v>545854.7300000001</v>
      </c>
    </row>
    <row r="261" spans="3:45" ht="12.75">
      <c r="C261" s="17"/>
      <c r="AS261" s="34"/>
    </row>
    <row r="262" spans="1:45" ht="15.75">
      <c r="A262" s="18">
        <v>33</v>
      </c>
      <c r="C262" s="15" t="s">
        <v>89</v>
      </c>
      <c r="AS262" s="34"/>
    </row>
    <row r="263" spans="3:45" ht="12.75">
      <c r="C263" s="4" t="str">
        <f>C257</f>
        <v>Debt Reserve</v>
      </c>
      <c r="AG263" s="32">
        <v>0</v>
      </c>
      <c r="AH263" s="32">
        <v>0</v>
      </c>
      <c r="AI263" s="32">
        <v>0</v>
      </c>
      <c r="AJ263" s="32">
        <v>0</v>
      </c>
      <c r="AK263" s="32">
        <v>0</v>
      </c>
      <c r="AL263" s="32">
        <v>0</v>
      </c>
      <c r="AM263" s="32">
        <v>0</v>
      </c>
      <c r="AN263" s="32">
        <v>0</v>
      </c>
      <c r="AO263" s="32">
        <v>0</v>
      </c>
      <c r="AP263" s="32">
        <v>0</v>
      </c>
      <c r="AQ263" s="32">
        <v>0</v>
      </c>
      <c r="AR263" s="38">
        <v>0</v>
      </c>
      <c r="AS263" s="32">
        <f>SUM(AG263:AR263)</f>
        <v>0</v>
      </c>
    </row>
    <row r="264" spans="3:45" ht="12.75">
      <c r="C264" s="4" t="str">
        <f>C258</f>
        <v>Treasury Fee</v>
      </c>
      <c r="AG264" s="42">
        <v>250</v>
      </c>
      <c r="AS264" s="32">
        <f>SUM(AG264:AR264)</f>
        <v>250</v>
      </c>
    </row>
    <row r="265" spans="3:45" ht="13.5" thickBot="1">
      <c r="C265" s="4" t="str">
        <f>C259</f>
        <v>Intercept</v>
      </c>
      <c r="AG265" s="32">
        <f aca="true" t="shared" si="66" ref="AG265:AP265">7083.33+23598.96</f>
        <v>30682.29</v>
      </c>
      <c r="AH265" s="32">
        <f t="shared" si="66"/>
        <v>30682.29</v>
      </c>
      <c r="AI265" s="32">
        <f t="shared" si="66"/>
        <v>30682.29</v>
      </c>
      <c r="AJ265" s="32">
        <f t="shared" si="66"/>
        <v>30682.29</v>
      </c>
      <c r="AK265" s="32">
        <f t="shared" si="66"/>
        <v>30682.29</v>
      </c>
      <c r="AL265" s="32">
        <f t="shared" si="66"/>
        <v>30682.29</v>
      </c>
      <c r="AM265" s="32">
        <f t="shared" si="66"/>
        <v>30682.29</v>
      </c>
      <c r="AN265" s="32">
        <f t="shared" si="66"/>
        <v>30682.29</v>
      </c>
      <c r="AO265" s="32">
        <f t="shared" si="66"/>
        <v>30682.29</v>
      </c>
      <c r="AP265" s="32">
        <f t="shared" si="66"/>
        <v>30682.29</v>
      </c>
      <c r="AQ265" s="32">
        <f>7500+23191.67</f>
        <v>30691.67</v>
      </c>
      <c r="AR265" s="38">
        <f>7500+23191.67</f>
        <v>30691.67</v>
      </c>
      <c r="AS265" s="32">
        <f>SUM(AG265:AR265)</f>
        <v>368206.24</v>
      </c>
    </row>
    <row r="266" spans="3:45" ht="13.5" thickBot="1">
      <c r="C266" s="16" t="s">
        <v>90</v>
      </c>
      <c r="AG266" s="33">
        <f aca="true" t="shared" si="67" ref="AG266:AS266">SUM(AG263:AG265)</f>
        <v>30932.29</v>
      </c>
      <c r="AH266" s="33">
        <f t="shared" si="67"/>
        <v>30682.29</v>
      </c>
      <c r="AI266" s="33">
        <f t="shared" si="67"/>
        <v>30682.29</v>
      </c>
      <c r="AJ266" s="33">
        <f t="shared" si="67"/>
        <v>30682.29</v>
      </c>
      <c r="AK266" s="33">
        <f t="shared" si="67"/>
        <v>30682.29</v>
      </c>
      <c r="AL266" s="33">
        <f t="shared" si="67"/>
        <v>30682.29</v>
      </c>
      <c r="AM266" s="33">
        <f t="shared" si="67"/>
        <v>30682.29</v>
      </c>
      <c r="AN266" s="33">
        <f t="shared" si="67"/>
        <v>30682.29</v>
      </c>
      <c r="AO266" s="33">
        <f t="shared" si="67"/>
        <v>30682.29</v>
      </c>
      <c r="AP266" s="33">
        <f t="shared" si="67"/>
        <v>30682.29</v>
      </c>
      <c r="AQ266" s="33">
        <f t="shared" si="67"/>
        <v>30691.67</v>
      </c>
      <c r="AR266" s="39">
        <f t="shared" si="67"/>
        <v>30691.67</v>
      </c>
      <c r="AS266" s="44">
        <f t="shared" si="67"/>
        <v>368456.24</v>
      </c>
    </row>
    <row r="267" spans="3:45" ht="12.75">
      <c r="C267" s="17"/>
      <c r="AS267" s="34"/>
    </row>
    <row r="268" spans="1:45" ht="15.75">
      <c r="A268" s="18">
        <f>+A262+1</f>
        <v>34</v>
      </c>
      <c r="C268" s="15" t="s">
        <v>92</v>
      </c>
      <c r="AS268" s="34"/>
    </row>
    <row r="269" spans="3:45" ht="12.75">
      <c r="C269" s="4" t="str">
        <f>C263</f>
        <v>Debt Reserve</v>
      </c>
      <c r="AG269" s="32">
        <v>0</v>
      </c>
      <c r="AH269" s="32">
        <v>0</v>
      </c>
      <c r="AI269" s="32">
        <v>0</v>
      </c>
      <c r="AJ269" s="32">
        <v>0</v>
      </c>
      <c r="AK269" s="32">
        <v>0</v>
      </c>
      <c r="AL269" s="32">
        <v>0</v>
      </c>
      <c r="AM269" s="32">
        <v>0</v>
      </c>
      <c r="AN269" s="32">
        <v>0</v>
      </c>
      <c r="AO269" s="32">
        <v>0</v>
      </c>
      <c r="AP269" s="32">
        <v>0</v>
      </c>
      <c r="AQ269" s="32">
        <v>0</v>
      </c>
      <c r="AR269" s="38">
        <v>0</v>
      </c>
      <c r="AS269" s="32">
        <f>SUM(AG269:AR269)</f>
        <v>0</v>
      </c>
    </row>
    <row r="270" spans="3:45" ht="12.75">
      <c r="C270" s="4" t="str">
        <f>C264</f>
        <v>Treasury Fee</v>
      </c>
      <c r="AG270" s="42">
        <v>250</v>
      </c>
      <c r="AS270" s="32">
        <f>SUM(AG270:AR270)</f>
        <v>250</v>
      </c>
    </row>
    <row r="271" spans="3:45" ht="13.5" thickBot="1">
      <c r="C271" s="4" t="str">
        <f>C265</f>
        <v>Intercept</v>
      </c>
      <c r="AG271" s="32">
        <f aca="true" t="shared" si="68" ref="AG271:AP271">9583.33+31326.25</f>
        <v>40909.58</v>
      </c>
      <c r="AH271" s="32">
        <f t="shared" si="68"/>
        <v>40909.58</v>
      </c>
      <c r="AI271" s="32">
        <f t="shared" si="68"/>
        <v>40909.58</v>
      </c>
      <c r="AJ271" s="32">
        <f t="shared" si="68"/>
        <v>40909.58</v>
      </c>
      <c r="AK271" s="32">
        <f t="shared" si="68"/>
        <v>40909.58</v>
      </c>
      <c r="AL271" s="32">
        <f t="shared" si="68"/>
        <v>40909.58</v>
      </c>
      <c r="AM271" s="32">
        <f t="shared" si="68"/>
        <v>40909.58</v>
      </c>
      <c r="AN271" s="32">
        <f t="shared" si="68"/>
        <v>40909.58</v>
      </c>
      <c r="AO271" s="32">
        <f t="shared" si="68"/>
        <v>40909.58</v>
      </c>
      <c r="AP271" s="32">
        <f t="shared" si="68"/>
        <v>40909.58</v>
      </c>
      <c r="AQ271" s="32">
        <f>10000+30780</f>
        <v>40780</v>
      </c>
      <c r="AR271" s="38">
        <f>10000+30780</f>
        <v>40780</v>
      </c>
      <c r="AS271" s="32">
        <f>SUM(AG271:AR271)</f>
        <v>490655.8000000001</v>
      </c>
    </row>
    <row r="272" spans="3:45" ht="13.5" thickBot="1">
      <c r="C272" s="16" t="s">
        <v>93</v>
      </c>
      <c r="AG272" s="33">
        <f aca="true" t="shared" si="69" ref="AG272:AS272">SUM(AG269:AG271)</f>
        <v>41159.58</v>
      </c>
      <c r="AH272" s="33">
        <f t="shared" si="69"/>
        <v>40909.58</v>
      </c>
      <c r="AI272" s="33">
        <f t="shared" si="69"/>
        <v>40909.58</v>
      </c>
      <c r="AJ272" s="33">
        <f t="shared" si="69"/>
        <v>40909.58</v>
      </c>
      <c r="AK272" s="33">
        <f t="shared" si="69"/>
        <v>40909.58</v>
      </c>
      <c r="AL272" s="33">
        <f t="shared" si="69"/>
        <v>40909.58</v>
      </c>
      <c r="AM272" s="33">
        <f t="shared" si="69"/>
        <v>40909.58</v>
      </c>
      <c r="AN272" s="33">
        <f t="shared" si="69"/>
        <v>40909.58</v>
      </c>
      <c r="AO272" s="33">
        <f t="shared" si="69"/>
        <v>40909.58</v>
      </c>
      <c r="AP272" s="33">
        <f t="shared" si="69"/>
        <v>40909.58</v>
      </c>
      <c r="AQ272" s="33">
        <f t="shared" si="69"/>
        <v>40780</v>
      </c>
      <c r="AR272" s="39">
        <f t="shared" si="69"/>
        <v>40780</v>
      </c>
      <c r="AS272" s="44">
        <f t="shared" si="69"/>
        <v>490905.8000000001</v>
      </c>
    </row>
    <row r="273" spans="3:45" ht="12.75">
      <c r="C273" s="17"/>
      <c r="AS273" s="34"/>
    </row>
    <row r="274" spans="1:45" ht="15.75">
      <c r="A274" s="18">
        <f>+A268+1</f>
        <v>35</v>
      </c>
      <c r="C274" s="15" t="s">
        <v>94</v>
      </c>
      <c r="AS274" s="34"/>
    </row>
    <row r="275" spans="3:45" ht="12.75">
      <c r="C275" s="4" t="str">
        <f>C269</f>
        <v>Debt Reserve</v>
      </c>
      <c r="AG275" s="32">
        <v>0</v>
      </c>
      <c r="AH275" s="32">
        <v>0</v>
      </c>
      <c r="AI275" s="32">
        <v>0</v>
      </c>
      <c r="AJ275" s="32">
        <v>0</v>
      </c>
      <c r="AK275" s="32">
        <v>0</v>
      </c>
      <c r="AL275" s="32">
        <v>0</v>
      </c>
      <c r="AM275" s="32">
        <v>0</v>
      </c>
      <c r="AN275" s="32">
        <v>0</v>
      </c>
      <c r="AO275" s="32">
        <v>0</v>
      </c>
      <c r="AP275" s="32">
        <v>0</v>
      </c>
      <c r="AQ275" s="32">
        <v>0</v>
      </c>
      <c r="AR275" s="38">
        <v>0</v>
      </c>
      <c r="AS275" s="32">
        <f>SUM(AG275:AR275)</f>
        <v>0</v>
      </c>
    </row>
    <row r="276" spans="3:45" ht="12.75">
      <c r="C276" s="4" t="str">
        <f>C270</f>
        <v>Treasury Fee</v>
      </c>
      <c r="AG276" s="42">
        <v>250</v>
      </c>
      <c r="AS276" s="32">
        <f>SUM(AG276:AR276)</f>
        <v>250</v>
      </c>
    </row>
    <row r="277" spans="3:45" ht="13.5" thickBot="1">
      <c r="C277" s="4" t="str">
        <f>C271</f>
        <v>Intercept</v>
      </c>
      <c r="AG277" s="32">
        <f aca="true" t="shared" si="70" ref="AG277:AP277">2083.33+12062.5</f>
        <v>14145.83</v>
      </c>
      <c r="AH277" s="32">
        <f t="shared" si="70"/>
        <v>14145.83</v>
      </c>
      <c r="AI277" s="32">
        <f t="shared" si="70"/>
        <v>14145.83</v>
      </c>
      <c r="AJ277" s="32">
        <f t="shared" si="70"/>
        <v>14145.83</v>
      </c>
      <c r="AK277" s="32">
        <f t="shared" si="70"/>
        <v>14145.83</v>
      </c>
      <c r="AL277" s="32">
        <f t="shared" si="70"/>
        <v>14145.83</v>
      </c>
      <c r="AM277" s="32">
        <f t="shared" si="70"/>
        <v>14145.83</v>
      </c>
      <c r="AN277" s="32">
        <f t="shared" si="70"/>
        <v>14145.83</v>
      </c>
      <c r="AO277" s="32">
        <f t="shared" si="70"/>
        <v>14145.83</v>
      </c>
      <c r="AP277" s="32">
        <f t="shared" si="70"/>
        <v>14145.83</v>
      </c>
      <c r="AQ277" s="32">
        <f>2083.33+11906.25</f>
        <v>13989.58</v>
      </c>
      <c r="AR277" s="38">
        <f>2083.33+11906.25</f>
        <v>13989.58</v>
      </c>
      <c r="AS277" s="32">
        <f>SUM(AG277:AR277)</f>
        <v>169437.45999999996</v>
      </c>
    </row>
    <row r="278" spans="3:45" ht="13.5" thickBot="1">
      <c r="C278" s="16" t="s">
        <v>95</v>
      </c>
      <c r="AG278" s="33">
        <f aca="true" t="shared" si="71" ref="AG278:AS278">SUM(AG275:AG277)</f>
        <v>14395.83</v>
      </c>
      <c r="AH278" s="33">
        <f t="shared" si="71"/>
        <v>14145.83</v>
      </c>
      <c r="AI278" s="33">
        <f t="shared" si="71"/>
        <v>14145.83</v>
      </c>
      <c r="AJ278" s="33">
        <f t="shared" si="71"/>
        <v>14145.83</v>
      </c>
      <c r="AK278" s="33">
        <f t="shared" si="71"/>
        <v>14145.83</v>
      </c>
      <c r="AL278" s="33">
        <f t="shared" si="71"/>
        <v>14145.83</v>
      </c>
      <c r="AM278" s="33">
        <f t="shared" si="71"/>
        <v>14145.83</v>
      </c>
      <c r="AN278" s="33">
        <f t="shared" si="71"/>
        <v>14145.83</v>
      </c>
      <c r="AO278" s="33">
        <f t="shared" si="71"/>
        <v>14145.83</v>
      </c>
      <c r="AP278" s="33">
        <f t="shared" si="71"/>
        <v>14145.83</v>
      </c>
      <c r="AQ278" s="33">
        <f t="shared" si="71"/>
        <v>13989.58</v>
      </c>
      <c r="AR278" s="39">
        <f t="shared" si="71"/>
        <v>13989.58</v>
      </c>
      <c r="AS278" s="44">
        <f t="shared" si="71"/>
        <v>169687.45999999996</v>
      </c>
    </row>
    <row r="279" spans="3:45" ht="12.75">
      <c r="C279" s="17"/>
      <c r="AS279" s="34"/>
    </row>
    <row r="280" spans="1:45" ht="15.75">
      <c r="A280" s="18">
        <f>+A274+1</f>
        <v>36</v>
      </c>
      <c r="C280" s="15" t="s">
        <v>96</v>
      </c>
      <c r="AS280" s="34"/>
    </row>
    <row r="281" spans="3:45" ht="12.75">
      <c r="C281" s="4" t="str">
        <f>C275</f>
        <v>Debt Reserve</v>
      </c>
      <c r="AG281" s="32">
        <v>586.67</v>
      </c>
      <c r="AH281" s="32">
        <v>586.67</v>
      </c>
      <c r="AI281" s="32">
        <v>586.67</v>
      </c>
      <c r="AJ281" s="32">
        <v>586.67</v>
      </c>
      <c r="AK281" s="32">
        <v>586.67</v>
      </c>
      <c r="AL281" s="32">
        <v>586.67</v>
      </c>
      <c r="AM281" s="32">
        <v>586.67</v>
      </c>
      <c r="AN281" s="32">
        <v>586.67</v>
      </c>
      <c r="AO281" s="32">
        <v>586.67</v>
      </c>
      <c r="AP281" s="32">
        <v>586.67</v>
      </c>
      <c r="AQ281" s="32">
        <v>586.67</v>
      </c>
      <c r="AR281" s="38">
        <v>577</v>
      </c>
      <c r="AS281" s="32">
        <f>SUM(AG281:AR281)</f>
        <v>7030.37</v>
      </c>
    </row>
    <row r="282" spans="3:45" ht="12.75">
      <c r="C282" s="4" t="str">
        <f>C276</f>
        <v>Treasury Fee</v>
      </c>
      <c r="AG282" s="42">
        <v>250</v>
      </c>
      <c r="AS282" s="32">
        <f>SUM(AG282:AR282)</f>
        <v>250</v>
      </c>
    </row>
    <row r="283" spans="3:45" ht="13.5" thickBot="1">
      <c r="C283" s="4" t="str">
        <f>C277</f>
        <v>Intercept</v>
      </c>
      <c r="AG283" s="32">
        <f aca="true" t="shared" si="72" ref="AG283:AQ283">12083.33+28221.04</f>
        <v>40304.37</v>
      </c>
      <c r="AH283" s="32">
        <f t="shared" si="72"/>
        <v>40304.37</v>
      </c>
      <c r="AI283" s="32">
        <f t="shared" si="72"/>
        <v>40304.37</v>
      </c>
      <c r="AJ283" s="32">
        <f t="shared" si="72"/>
        <v>40304.37</v>
      </c>
      <c r="AK283" s="32">
        <f t="shared" si="72"/>
        <v>40304.37</v>
      </c>
      <c r="AL283" s="32">
        <f t="shared" si="72"/>
        <v>40304.37</v>
      </c>
      <c r="AM283" s="32">
        <f t="shared" si="72"/>
        <v>40304.37</v>
      </c>
      <c r="AN283" s="32">
        <f t="shared" si="72"/>
        <v>40304.37</v>
      </c>
      <c r="AO283" s="32">
        <f t="shared" si="72"/>
        <v>40304.37</v>
      </c>
      <c r="AP283" s="32">
        <f t="shared" si="72"/>
        <v>40304.37</v>
      </c>
      <c r="AQ283" s="32">
        <f t="shared" si="72"/>
        <v>40304.37</v>
      </c>
      <c r="AR283" s="38">
        <f>12500+27737.71</f>
        <v>40237.71</v>
      </c>
      <c r="AS283" s="32">
        <f>SUM(AG283:AR283)</f>
        <v>483585.78</v>
      </c>
    </row>
    <row r="284" spans="3:45" ht="13.5" thickBot="1">
      <c r="C284" s="16" t="s">
        <v>97</v>
      </c>
      <c r="AG284" s="33">
        <f aca="true" t="shared" si="73" ref="AG284:AS284">SUM(AG281:AG283)</f>
        <v>41141.04</v>
      </c>
      <c r="AH284" s="33">
        <f t="shared" si="73"/>
        <v>40891.04</v>
      </c>
      <c r="AI284" s="33">
        <f t="shared" si="73"/>
        <v>40891.04</v>
      </c>
      <c r="AJ284" s="33">
        <f t="shared" si="73"/>
        <v>40891.04</v>
      </c>
      <c r="AK284" s="33">
        <f t="shared" si="73"/>
        <v>40891.04</v>
      </c>
      <c r="AL284" s="33">
        <f t="shared" si="73"/>
        <v>40891.04</v>
      </c>
      <c r="AM284" s="33">
        <f t="shared" si="73"/>
        <v>40891.04</v>
      </c>
      <c r="AN284" s="33">
        <f t="shared" si="73"/>
        <v>40891.04</v>
      </c>
      <c r="AO284" s="33">
        <f t="shared" si="73"/>
        <v>40891.04</v>
      </c>
      <c r="AP284" s="33">
        <f t="shared" si="73"/>
        <v>40891.04</v>
      </c>
      <c r="AQ284" s="33">
        <f t="shared" si="73"/>
        <v>40891.04</v>
      </c>
      <c r="AR284" s="39">
        <f t="shared" si="73"/>
        <v>40814.71</v>
      </c>
      <c r="AS284" s="44">
        <f t="shared" si="73"/>
        <v>490866.15</v>
      </c>
    </row>
    <row r="285" spans="3:45" ht="12.75">
      <c r="C285" s="17"/>
      <c r="AS285" s="34"/>
    </row>
    <row r="286" spans="1:45" ht="21">
      <c r="A286" s="18">
        <f>+A280+1</f>
        <v>37</v>
      </c>
      <c r="B286" s="19" t="s">
        <v>107</v>
      </c>
      <c r="C286" s="20" t="s">
        <v>139</v>
      </c>
      <c r="AS286" s="34"/>
    </row>
    <row r="287" spans="3:45" ht="12.75">
      <c r="C287" s="4" t="str">
        <f>C281</f>
        <v>Debt Reserve</v>
      </c>
      <c r="AG287" s="32">
        <v>0</v>
      </c>
      <c r="AH287" s="32">
        <v>0</v>
      </c>
      <c r="AI287" s="32">
        <v>0</v>
      </c>
      <c r="AJ287" s="32">
        <v>0</v>
      </c>
      <c r="AK287" s="32">
        <v>0</v>
      </c>
      <c r="AL287" s="32">
        <v>0</v>
      </c>
      <c r="AM287" s="32">
        <v>0</v>
      </c>
      <c r="AN287" s="32">
        <v>0</v>
      </c>
      <c r="AO287" s="32">
        <v>0</v>
      </c>
      <c r="AP287" s="32">
        <v>0</v>
      </c>
      <c r="AQ287" s="32">
        <v>0</v>
      </c>
      <c r="AR287" s="38">
        <v>0</v>
      </c>
      <c r="AS287" s="32">
        <f>SUM(AG287:AR287)</f>
        <v>0</v>
      </c>
    </row>
    <row r="288" spans="3:45" ht="12.75">
      <c r="C288" s="4" t="str">
        <f>C282</f>
        <v>Treasury Fee</v>
      </c>
      <c r="AG288" s="32">
        <v>250</v>
      </c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8"/>
      <c r="AS288" s="32">
        <f>SUM(AG288:AR288)</f>
        <v>250</v>
      </c>
    </row>
    <row r="289" spans="3:45" ht="13.5" thickBot="1">
      <c r="C289" s="4" t="str">
        <f>C283</f>
        <v>Intercept</v>
      </c>
      <c r="AG289" s="32">
        <v>17750</v>
      </c>
      <c r="AH289" s="32">
        <v>17750</v>
      </c>
      <c r="AI289" s="32">
        <v>17750</v>
      </c>
      <c r="AJ289" s="32">
        <v>17750</v>
      </c>
      <c r="AK289" s="32">
        <v>17750</v>
      </c>
      <c r="AL289" s="32">
        <v>17750</v>
      </c>
      <c r="AM289" s="32">
        <v>17750</v>
      </c>
      <c r="AN289" s="32">
        <v>17750</v>
      </c>
      <c r="AO289" s="32">
        <v>17750</v>
      </c>
      <c r="AP289" s="32">
        <v>17750</v>
      </c>
      <c r="AQ289" s="32">
        <v>17750</v>
      </c>
      <c r="AR289" s="38">
        <v>17750</v>
      </c>
      <c r="AS289" s="32">
        <f>SUM(AG289:AR289)</f>
        <v>213000</v>
      </c>
    </row>
    <row r="290" spans="3:45" ht="13.5" thickBot="1">
      <c r="C290" s="16" t="s">
        <v>98</v>
      </c>
      <c r="AG290" s="33">
        <f aca="true" t="shared" si="74" ref="AG290:AS290">SUM(AG287:AG289)</f>
        <v>18000</v>
      </c>
      <c r="AH290" s="33">
        <f t="shared" si="74"/>
        <v>17750</v>
      </c>
      <c r="AI290" s="33">
        <f t="shared" si="74"/>
        <v>17750</v>
      </c>
      <c r="AJ290" s="33">
        <f t="shared" si="74"/>
        <v>17750</v>
      </c>
      <c r="AK290" s="33">
        <f t="shared" si="74"/>
        <v>17750</v>
      </c>
      <c r="AL290" s="33">
        <f t="shared" si="74"/>
        <v>17750</v>
      </c>
      <c r="AM290" s="33">
        <f t="shared" si="74"/>
        <v>17750</v>
      </c>
      <c r="AN290" s="33">
        <f t="shared" si="74"/>
        <v>17750</v>
      </c>
      <c r="AO290" s="33">
        <f t="shared" si="74"/>
        <v>17750</v>
      </c>
      <c r="AP290" s="33">
        <f t="shared" si="74"/>
        <v>17750</v>
      </c>
      <c r="AQ290" s="33">
        <f t="shared" si="74"/>
        <v>17750</v>
      </c>
      <c r="AR290" s="39">
        <f t="shared" si="74"/>
        <v>17750</v>
      </c>
      <c r="AS290" s="44">
        <f t="shared" si="74"/>
        <v>213250</v>
      </c>
    </row>
    <row r="291" spans="3:45" ht="12.75">
      <c r="C291" s="17"/>
      <c r="AS291" s="34"/>
    </row>
    <row r="292" spans="1:45" ht="21">
      <c r="A292" s="18">
        <f>+A286+1</f>
        <v>38</v>
      </c>
      <c r="B292" s="21"/>
      <c r="C292" s="15" t="s">
        <v>99</v>
      </c>
      <c r="AS292" s="34"/>
    </row>
    <row r="293" spans="3:45" ht="12.75">
      <c r="C293" s="4" t="str">
        <f>C287</f>
        <v>Debt Reserve</v>
      </c>
      <c r="AG293" s="32">
        <v>0</v>
      </c>
      <c r="AH293" s="32">
        <v>0</v>
      </c>
      <c r="AI293" s="32">
        <v>0</v>
      </c>
      <c r="AJ293" s="32">
        <v>0</v>
      </c>
      <c r="AK293" s="32">
        <v>0</v>
      </c>
      <c r="AL293" s="32">
        <v>0</v>
      </c>
      <c r="AM293" s="32">
        <v>0</v>
      </c>
      <c r="AN293" s="32">
        <v>0</v>
      </c>
      <c r="AO293" s="32">
        <v>0</v>
      </c>
      <c r="AP293" s="32">
        <v>0</v>
      </c>
      <c r="AQ293" s="32">
        <v>0</v>
      </c>
      <c r="AR293" s="38">
        <v>0</v>
      </c>
      <c r="AS293" s="32">
        <f>SUM(AG293:AR293)</f>
        <v>0</v>
      </c>
    </row>
    <row r="294" spans="3:45" ht="12.75">
      <c r="C294" s="4" t="str">
        <f>C288</f>
        <v>Treasury Fee</v>
      </c>
      <c r="AG294" s="42">
        <v>250</v>
      </c>
      <c r="AS294" s="32">
        <f>SUM(AG294:AR294)</f>
        <v>250</v>
      </c>
    </row>
    <row r="295" spans="3:45" ht="13.5" thickBot="1">
      <c r="C295" s="4" t="str">
        <f>C289</f>
        <v>Intercept</v>
      </c>
      <c r="AG295" s="32">
        <f>16250+58526.56</f>
        <v>74776.56</v>
      </c>
      <c r="AH295" s="32">
        <f>16250+58526.56</f>
        <v>74776.56</v>
      </c>
      <c r="AI295" s="32">
        <f>16250+58526.56</f>
        <v>74776.56</v>
      </c>
      <c r="AJ295" s="32">
        <f>17083.33+57632.81</f>
        <v>74716.14</v>
      </c>
      <c r="AK295" s="32">
        <f aca="true" t="shared" si="75" ref="AK295:AR295">17083.33+57632.81</f>
        <v>74716.14</v>
      </c>
      <c r="AL295" s="32">
        <f t="shared" si="75"/>
        <v>74716.14</v>
      </c>
      <c r="AM295" s="32">
        <f t="shared" si="75"/>
        <v>74716.14</v>
      </c>
      <c r="AN295" s="32">
        <f t="shared" si="75"/>
        <v>74716.14</v>
      </c>
      <c r="AO295" s="32">
        <f t="shared" si="75"/>
        <v>74716.14</v>
      </c>
      <c r="AP295" s="32">
        <f t="shared" si="75"/>
        <v>74716.14</v>
      </c>
      <c r="AQ295" s="32">
        <f t="shared" si="75"/>
        <v>74716.14</v>
      </c>
      <c r="AR295" s="38">
        <f t="shared" si="75"/>
        <v>74716.14</v>
      </c>
      <c r="AS295" s="32">
        <f>SUM(AG295:AR295)</f>
        <v>896774.9400000001</v>
      </c>
    </row>
    <row r="296" spans="3:45" ht="13.5" thickBot="1">
      <c r="C296" s="16" t="s">
        <v>100</v>
      </c>
      <c r="AG296" s="33">
        <f aca="true" t="shared" si="76" ref="AG296:AS296">SUM(AG293:AG295)</f>
        <v>75026.56</v>
      </c>
      <c r="AH296" s="33">
        <f t="shared" si="76"/>
        <v>74776.56</v>
      </c>
      <c r="AI296" s="33">
        <f t="shared" si="76"/>
        <v>74776.56</v>
      </c>
      <c r="AJ296" s="33">
        <f t="shared" si="76"/>
        <v>74716.14</v>
      </c>
      <c r="AK296" s="33">
        <f t="shared" si="76"/>
        <v>74716.14</v>
      </c>
      <c r="AL296" s="33">
        <f t="shared" si="76"/>
        <v>74716.14</v>
      </c>
      <c r="AM296" s="33">
        <f t="shared" si="76"/>
        <v>74716.14</v>
      </c>
      <c r="AN296" s="33">
        <f t="shared" si="76"/>
        <v>74716.14</v>
      </c>
      <c r="AO296" s="33">
        <f t="shared" si="76"/>
        <v>74716.14</v>
      </c>
      <c r="AP296" s="33">
        <f t="shared" si="76"/>
        <v>74716.14</v>
      </c>
      <c r="AQ296" s="33">
        <f t="shared" si="76"/>
        <v>74716.14</v>
      </c>
      <c r="AR296" s="39">
        <f t="shared" si="76"/>
        <v>74716.14</v>
      </c>
      <c r="AS296" s="44">
        <f t="shared" si="76"/>
        <v>897024.9400000001</v>
      </c>
    </row>
    <row r="297" spans="3:45" ht="12.75">
      <c r="C297" s="17"/>
      <c r="AS297" s="34"/>
    </row>
    <row r="298" spans="1:45" ht="21">
      <c r="A298" s="18"/>
      <c r="B298" s="22" t="s">
        <v>108</v>
      </c>
      <c r="C298" s="23" t="s">
        <v>101</v>
      </c>
      <c r="AS298" s="34"/>
    </row>
    <row r="299" spans="3:45" ht="12.75">
      <c r="C299" s="4" t="str">
        <f>C293</f>
        <v>Debt Reserve</v>
      </c>
      <c r="AS299" s="32"/>
    </row>
    <row r="300" spans="3:45" ht="12.75">
      <c r="C300" s="4" t="str">
        <f>C294</f>
        <v>Treasury Fee</v>
      </c>
      <c r="AS300" s="32"/>
    </row>
    <row r="301" spans="3:45" ht="13.5" thickBot="1">
      <c r="C301" s="4" t="str">
        <f>C295</f>
        <v>Intercept</v>
      </c>
      <c r="AS301" s="32"/>
    </row>
    <row r="302" ht="13.5" thickBot="1">
      <c r="C302" s="16" t="s">
        <v>102</v>
      </c>
    </row>
    <row r="303" spans="3:45" ht="12.75">
      <c r="C303" s="17"/>
      <c r="AS303" s="34"/>
    </row>
    <row r="304" spans="1:45" ht="21">
      <c r="A304" s="18">
        <f>+A292+1</f>
        <v>39</v>
      </c>
      <c r="B304" s="21"/>
      <c r="C304" s="5" t="s">
        <v>103</v>
      </c>
      <c r="AS304" s="34"/>
    </row>
    <row r="305" spans="3:45" ht="12.75">
      <c r="C305" s="4" t="str">
        <f>C299</f>
        <v>Debt Reserve</v>
      </c>
      <c r="AG305" s="32">
        <v>856.25</v>
      </c>
      <c r="AH305" s="32">
        <v>856.25</v>
      </c>
      <c r="AI305" s="32">
        <v>856.25</v>
      </c>
      <c r="AJ305" s="32">
        <v>856.25</v>
      </c>
      <c r="AK305" s="32">
        <v>856.25</v>
      </c>
      <c r="AL305" s="32">
        <v>856.25</v>
      </c>
      <c r="AM305" s="32">
        <v>841.67</v>
      </c>
      <c r="AN305" s="32">
        <v>841.67</v>
      </c>
      <c r="AO305" s="32">
        <v>841.67</v>
      </c>
      <c r="AP305" s="32">
        <v>841.67</v>
      </c>
      <c r="AQ305" s="32">
        <v>841.67</v>
      </c>
      <c r="AR305" s="38">
        <v>841.67</v>
      </c>
      <c r="AS305" s="32">
        <f>SUM(AG305:AR305)</f>
        <v>10187.52</v>
      </c>
    </row>
    <row r="306" spans="3:45" ht="12.75">
      <c r="C306" s="4" t="str">
        <f>C300</f>
        <v>Treasury Fee</v>
      </c>
      <c r="AG306" s="42">
        <v>250</v>
      </c>
      <c r="AS306" s="32">
        <f>SUM(AG306:AR306)</f>
        <v>250</v>
      </c>
    </row>
    <row r="307" spans="3:45" ht="13.5" thickBot="1">
      <c r="C307" s="4" t="str">
        <f>C301</f>
        <v>Intercept</v>
      </c>
      <c r="AG307" s="32">
        <f aca="true" t="shared" si="77" ref="AG307:AQ307">15416.67+43280.73</f>
        <v>58697.4</v>
      </c>
      <c r="AH307" s="32">
        <f t="shared" si="77"/>
        <v>58697.4</v>
      </c>
      <c r="AI307" s="32">
        <f t="shared" si="77"/>
        <v>58697.4</v>
      </c>
      <c r="AJ307" s="32">
        <f t="shared" si="77"/>
        <v>58697.4</v>
      </c>
      <c r="AK307" s="32">
        <f t="shared" si="77"/>
        <v>58697.4</v>
      </c>
      <c r="AL307" s="32">
        <f t="shared" si="77"/>
        <v>58697.4</v>
      </c>
      <c r="AM307" s="32">
        <f t="shared" si="77"/>
        <v>58697.4</v>
      </c>
      <c r="AN307" s="32">
        <f t="shared" si="77"/>
        <v>58697.4</v>
      </c>
      <c r="AO307" s="32">
        <f t="shared" si="77"/>
        <v>58697.4</v>
      </c>
      <c r="AP307" s="32">
        <f t="shared" si="77"/>
        <v>58697.4</v>
      </c>
      <c r="AQ307" s="32">
        <f t="shared" si="77"/>
        <v>58697.4</v>
      </c>
      <c r="AR307" s="38">
        <f>15833.33+42664.06</f>
        <v>58497.39</v>
      </c>
      <c r="AS307" s="32">
        <f>SUM(AG307:AR307)</f>
        <v>704168.7900000002</v>
      </c>
    </row>
    <row r="308" spans="3:45" ht="13.5" thickBot="1">
      <c r="C308" s="6" t="s">
        <v>104</v>
      </c>
      <c r="AG308" s="33">
        <f aca="true" t="shared" si="78" ref="AG308:AS308">SUM(AG305:AG307)</f>
        <v>59803.65</v>
      </c>
      <c r="AH308" s="33">
        <f t="shared" si="78"/>
        <v>59553.65</v>
      </c>
      <c r="AI308" s="33">
        <f t="shared" si="78"/>
        <v>59553.65</v>
      </c>
      <c r="AJ308" s="33">
        <f t="shared" si="78"/>
        <v>59553.65</v>
      </c>
      <c r="AK308" s="33">
        <f t="shared" si="78"/>
        <v>59553.65</v>
      </c>
      <c r="AL308" s="33">
        <f t="shared" si="78"/>
        <v>59553.65</v>
      </c>
      <c r="AM308" s="33">
        <f t="shared" si="78"/>
        <v>59539.07</v>
      </c>
      <c r="AN308" s="33">
        <f t="shared" si="78"/>
        <v>59539.07</v>
      </c>
      <c r="AO308" s="33">
        <f t="shared" si="78"/>
        <v>59539.07</v>
      </c>
      <c r="AP308" s="33">
        <f t="shared" si="78"/>
        <v>59539.07</v>
      </c>
      <c r="AQ308" s="33">
        <f t="shared" si="78"/>
        <v>59539.07</v>
      </c>
      <c r="AR308" s="39">
        <f t="shared" si="78"/>
        <v>59339.06</v>
      </c>
      <c r="AS308" s="44">
        <f t="shared" si="78"/>
        <v>714606.3100000002</v>
      </c>
    </row>
    <row r="309" spans="3:45" ht="12.75">
      <c r="C309" s="17"/>
      <c r="AS309" s="34"/>
    </row>
    <row r="310" spans="1:45" ht="21">
      <c r="A310" s="18">
        <f>+A304+1</f>
        <v>40</v>
      </c>
      <c r="B310" s="19" t="s">
        <v>107</v>
      </c>
      <c r="C310" s="24" t="s">
        <v>105</v>
      </c>
      <c r="AS310" s="34"/>
    </row>
    <row r="311" spans="3:45" ht="12.75">
      <c r="C311" s="4" t="str">
        <f>C305</f>
        <v>Debt Reserve</v>
      </c>
      <c r="AG311" s="32">
        <v>0</v>
      </c>
      <c r="AH311" s="32">
        <v>0</v>
      </c>
      <c r="AI311" s="32">
        <v>0</v>
      </c>
      <c r="AJ311" s="32">
        <v>0</v>
      </c>
      <c r="AK311" s="32">
        <v>0</v>
      </c>
      <c r="AL311" s="32">
        <v>0</v>
      </c>
      <c r="AM311" s="32">
        <v>0</v>
      </c>
      <c r="AN311" s="32">
        <v>0</v>
      </c>
      <c r="AO311" s="32">
        <v>0</v>
      </c>
      <c r="AP311" s="32">
        <v>0</v>
      </c>
      <c r="AQ311" s="32">
        <v>0</v>
      </c>
      <c r="AR311" s="38">
        <v>0</v>
      </c>
      <c r="AS311" s="32">
        <f>SUM(AG311:AR311)</f>
        <v>0</v>
      </c>
    </row>
    <row r="312" spans="3:45" ht="12.75">
      <c r="C312" s="4" t="str">
        <f>C306</f>
        <v>Treasury Fee</v>
      </c>
      <c r="AG312" s="42">
        <v>250</v>
      </c>
      <c r="AS312" s="32">
        <f>SUM(AG312:AR312)</f>
        <v>250</v>
      </c>
    </row>
    <row r="313" spans="3:45" ht="13.5" thickBot="1">
      <c r="C313" s="4" t="str">
        <f>C307</f>
        <v>Intercept</v>
      </c>
      <c r="AG313" s="32">
        <f>10833.33+44786.46</f>
        <v>55619.79</v>
      </c>
      <c r="AH313" s="32">
        <f aca="true" t="shared" si="79" ref="AH313:AR313">10833.33+44786.46</f>
        <v>55619.79</v>
      </c>
      <c r="AI313" s="32">
        <f t="shared" si="79"/>
        <v>55619.79</v>
      </c>
      <c r="AJ313" s="32">
        <f t="shared" si="79"/>
        <v>55619.79</v>
      </c>
      <c r="AK313" s="32">
        <f t="shared" si="79"/>
        <v>55619.79</v>
      </c>
      <c r="AL313" s="32">
        <f t="shared" si="79"/>
        <v>55619.79</v>
      </c>
      <c r="AM313" s="32">
        <f t="shared" si="79"/>
        <v>55619.79</v>
      </c>
      <c r="AN313" s="32">
        <f t="shared" si="79"/>
        <v>55619.79</v>
      </c>
      <c r="AO313" s="32">
        <f t="shared" si="79"/>
        <v>55619.79</v>
      </c>
      <c r="AP313" s="32">
        <f t="shared" si="79"/>
        <v>55619.79</v>
      </c>
      <c r="AQ313" s="32">
        <f t="shared" si="79"/>
        <v>55619.79</v>
      </c>
      <c r="AR313" s="38">
        <f t="shared" si="79"/>
        <v>55619.79</v>
      </c>
      <c r="AS313" s="32">
        <f>SUM(AG313:AR313)</f>
        <v>667437.48</v>
      </c>
    </row>
    <row r="314" spans="3:45" ht="13.5" thickBot="1">
      <c r="C314" s="6" t="s">
        <v>106</v>
      </c>
      <c r="AG314" s="33">
        <f aca="true" t="shared" si="80" ref="AG314:AS314">SUM(AG311:AG313)</f>
        <v>55869.79</v>
      </c>
      <c r="AH314" s="33">
        <f t="shared" si="80"/>
        <v>55619.79</v>
      </c>
      <c r="AI314" s="33">
        <f t="shared" si="80"/>
        <v>55619.79</v>
      </c>
      <c r="AJ314" s="33">
        <f t="shared" si="80"/>
        <v>55619.79</v>
      </c>
      <c r="AK314" s="33">
        <f t="shared" si="80"/>
        <v>55619.79</v>
      </c>
      <c r="AL314" s="33">
        <f t="shared" si="80"/>
        <v>55619.79</v>
      </c>
      <c r="AM314" s="33">
        <f t="shared" si="80"/>
        <v>55619.79</v>
      </c>
      <c r="AN314" s="33">
        <f t="shared" si="80"/>
        <v>55619.79</v>
      </c>
      <c r="AO314" s="33">
        <f t="shared" si="80"/>
        <v>55619.79</v>
      </c>
      <c r="AP314" s="33">
        <f t="shared" si="80"/>
        <v>55619.79</v>
      </c>
      <c r="AQ314" s="33">
        <f t="shared" si="80"/>
        <v>55619.79</v>
      </c>
      <c r="AR314" s="39">
        <f t="shared" si="80"/>
        <v>55619.79</v>
      </c>
      <c r="AS314" s="44">
        <f t="shared" si="80"/>
        <v>667687.48</v>
      </c>
    </row>
    <row r="315" spans="3:45" ht="12.75">
      <c r="C315" s="17"/>
      <c r="AS315" s="34"/>
    </row>
    <row r="316" spans="1:45" ht="21">
      <c r="A316" s="18">
        <f>+A310+1</f>
        <v>41</v>
      </c>
      <c r="B316" s="21"/>
      <c r="C316" s="5" t="s">
        <v>113</v>
      </c>
      <c r="AS316" s="34"/>
    </row>
    <row r="317" spans="3:45" ht="12.75">
      <c r="C317" s="4" t="str">
        <f>C311</f>
        <v>Debt Reserve</v>
      </c>
      <c r="AG317" s="32">
        <v>0</v>
      </c>
      <c r="AH317" s="32">
        <v>0</v>
      </c>
      <c r="AI317" s="32">
        <v>0</v>
      </c>
      <c r="AJ317" s="32">
        <v>0</v>
      </c>
      <c r="AK317" s="32">
        <v>0</v>
      </c>
      <c r="AL317" s="32">
        <v>0</v>
      </c>
      <c r="AM317" s="32">
        <v>0</v>
      </c>
      <c r="AN317" s="32">
        <v>0</v>
      </c>
      <c r="AO317" s="32">
        <v>0</v>
      </c>
      <c r="AP317" s="32">
        <v>0</v>
      </c>
      <c r="AQ317" s="32">
        <v>0</v>
      </c>
      <c r="AR317" s="38">
        <v>0</v>
      </c>
      <c r="AS317" s="32">
        <f>SUM(AG317:AR317)</f>
        <v>0</v>
      </c>
    </row>
    <row r="318" spans="3:45" ht="12.75">
      <c r="C318" s="4" t="str">
        <f>C312</f>
        <v>Treasury Fee</v>
      </c>
      <c r="AG318" s="42">
        <v>250</v>
      </c>
      <c r="AS318" s="32">
        <f>SUM(AG318:AR318)</f>
        <v>250</v>
      </c>
    </row>
    <row r="319" spans="3:45" ht="13.5" thickBot="1">
      <c r="C319" s="4" t="str">
        <f>C313</f>
        <v>Intercept</v>
      </c>
      <c r="AG319" s="32">
        <f aca="true" t="shared" si="81" ref="AG319:AO319">3333.33+26921.88</f>
        <v>30255.21</v>
      </c>
      <c r="AH319" s="32">
        <f t="shared" si="81"/>
        <v>30255.21</v>
      </c>
      <c r="AI319" s="32">
        <f t="shared" si="81"/>
        <v>30255.21</v>
      </c>
      <c r="AJ319" s="32">
        <f t="shared" si="81"/>
        <v>30255.21</v>
      </c>
      <c r="AK319" s="32">
        <f t="shared" si="81"/>
        <v>30255.21</v>
      </c>
      <c r="AL319" s="32">
        <f t="shared" si="81"/>
        <v>30255.21</v>
      </c>
      <c r="AM319" s="32">
        <f t="shared" si="81"/>
        <v>30255.21</v>
      </c>
      <c r="AN319" s="32">
        <f t="shared" si="81"/>
        <v>30255.21</v>
      </c>
      <c r="AO319" s="32">
        <f t="shared" si="81"/>
        <v>30255.21</v>
      </c>
      <c r="AP319" s="32">
        <f>5000+26655.21</f>
        <v>31655.21</v>
      </c>
      <c r="AQ319" s="32">
        <f>5000+26655.21</f>
        <v>31655.21</v>
      </c>
      <c r="AR319" s="38">
        <f>5000+26655.21</f>
        <v>31655.21</v>
      </c>
      <c r="AS319" s="32">
        <f>SUM(AG319:AR319)</f>
        <v>367262.52</v>
      </c>
    </row>
    <row r="320" spans="3:45" ht="13.5" thickBot="1">
      <c r="C320" s="6" t="s">
        <v>114</v>
      </c>
      <c r="AG320" s="33">
        <f aca="true" t="shared" si="82" ref="AG320:AS320">SUM(AG317:AG319)</f>
        <v>30505.21</v>
      </c>
      <c r="AH320" s="33">
        <f t="shared" si="82"/>
        <v>30255.21</v>
      </c>
      <c r="AI320" s="33">
        <f t="shared" si="82"/>
        <v>30255.21</v>
      </c>
      <c r="AJ320" s="33">
        <f t="shared" si="82"/>
        <v>30255.21</v>
      </c>
      <c r="AK320" s="33">
        <f t="shared" si="82"/>
        <v>30255.21</v>
      </c>
      <c r="AL320" s="33">
        <f t="shared" si="82"/>
        <v>30255.21</v>
      </c>
      <c r="AM320" s="33">
        <f t="shared" si="82"/>
        <v>30255.21</v>
      </c>
      <c r="AN320" s="33">
        <f t="shared" si="82"/>
        <v>30255.21</v>
      </c>
      <c r="AO320" s="33">
        <f t="shared" si="82"/>
        <v>30255.21</v>
      </c>
      <c r="AP320" s="33">
        <f t="shared" si="82"/>
        <v>31655.21</v>
      </c>
      <c r="AQ320" s="33">
        <f t="shared" si="82"/>
        <v>31655.21</v>
      </c>
      <c r="AR320" s="39">
        <f t="shared" si="82"/>
        <v>31655.21</v>
      </c>
      <c r="AS320" s="44">
        <f t="shared" si="82"/>
        <v>367512.52</v>
      </c>
    </row>
    <row r="321" spans="3:45" ht="12.75">
      <c r="C321" s="14"/>
      <c r="AS321" s="34"/>
    </row>
    <row r="322" spans="1:45" ht="21">
      <c r="A322" s="18">
        <f>+A316+1</f>
        <v>42</v>
      </c>
      <c r="B322" s="11" t="s">
        <v>109</v>
      </c>
      <c r="C322" s="12" t="s">
        <v>115</v>
      </c>
      <c r="AS322" s="34"/>
    </row>
    <row r="323" ht="12.75">
      <c r="C323" s="4" t="str">
        <f>C317</f>
        <v>Debt Reserve</v>
      </c>
    </row>
    <row r="324" ht="12.75">
      <c r="C324" s="4" t="str">
        <f>C318</f>
        <v>Treasury Fee</v>
      </c>
    </row>
    <row r="325" ht="13.5" thickBot="1">
      <c r="C325" s="4" t="str">
        <f>C319</f>
        <v>Intercept</v>
      </c>
    </row>
    <row r="326" ht="13.5" thickBot="1">
      <c r="C326" s="6" t="s">
        <v>116</v>
      </c>
    </row>
    <row r="327" spans="3:45" ht="12.75">
      <c r="C327" s="14"/>
      <c r="AS327" s="34"/>
    </row>
    <row r="328" spans="1:45" ht="21">
      <c r="A328" s="18">
        <f>+A322+1</f>
        <v>43</v>
      </c>
      <c r="B328" s="21"/>
      <c r="C328" s="5" t="s">
        <v>117</v>
      </c>
      <c r="AS328" s="34"/>
    </row>
    <row r="329" spans="3:45" ht="12.75">
      <c r="C329" s="4" t="str">
        <f>C323</f>
        <v>Debt Reserve</v>
      </c>
      <c r="AG329" s="32">
        <v>0</v>
      </c>
      <c r="AH329" s="32">
        <v>0</v>
      </c>
      <c r="AI329" s="32">
        <v>0</v>
      </c>
      <c r="AJ329" s="32">
        <v>0</v>
      </c>
      <c r="AK329" s="32">
        <v>0</v>
      </c>
      <c r="AL329" s="32">
        <v>0</v>
      </c>
      <c r="AM329" s="32">
        <v>0</v>
      </c>
      <c r="AN329" s="32">
        <v>0</v>
      </c>
      <c r="AO329" s="32">
        <v>0</v>
      </c>
      <c r="AP329" s="32">
        <v>0</v>
      </c>
      <c r="AQ329" s="32">
        <v>0</v>
      </c>
      <c r="AR329" s="38">
        <v>0</v>
      </c>
      <c r="AS329" s="32">
        <f>SUM(AG329:AR329)</f>
        <v>0</v>
      </c>
    </row>
    <row r="330" spans="3:45" ht="12.75">
      <c r="C330" s="4" t="str">
        <f>C324</f>
        <v>Treasury Fee</v>
      </c>
      <c r="AG330" s="42">
        <v>250</v>
      </c>
      <c r="AS330" s="32">
        <f>SUM(AG330:AR330)</f>
        <v>250</v>
      </c>
    </row>
    <row r="331" spans="3:45" ht="13.5" thickBot="1">
      <c r="C331" s="4" t="str">
        <f>C325</f>
        <v>Intercept</v>
      </c>
      <c r="AG331" s="32">
        <f aca="true" t="shared" si="83" ref="AG331:AP331">7083.33+35029.69</f>
        <v>42113.020000000004</v>
      </c>
      <c r="AH331" s="32">
        <f t="shared" si="83"/>
        <v>42113.020000000004</v>
      </c>
      <c r="AI331" s="32">
        <f t="shared" si="83"/>
        <v>42113.020000000004</v>
      </c>
      <c r="AJ331" s="32">
        <f t="shared" si="83"/>
        <v>42113.020000000004</v>
      </c>
      <c r="AK331" s="32">
        <f t="shared" si="83"/>
        <v>42113.020000000004</v>
      </c>
      <c r="AL331" s="32">
        <f t="shared" si="83"/>
        <v>42113.020000000004</v>
      </c>
      <c r="AM331" s="32">
        <f t="shared" si="83"/>
        <v>42113.020000000004</v>
      </c>
      <c r="AN331" s="32">
        <f t="shared" si="83"/>
        <v>42113.020000000004</v>
      </c>
      <c r="AO331" s="32">
        <f t="shared" si="83"/>
        <v>42113.020000000004</v>
      </c>
      <c r="AP331" s="32">
        <f t="shared" si="83"/>
        <v>42113.020000000004</v>
      </c>
      <c r="AQ331" s="32">
        <f>7500+34560.42</f>
        <v>42060.42</v>
      </c>
      <c r="AR331" s="38">
        <f>7500+34560.42</f>
        <v>42060.42</v>
      </c>
      <c r="AS331" s="32">
        <f>SUM(AG331:AR331)</f>
        <v>505251.0400000001</v>
      </c>
    </row>
    <row r="332" spans="3:45" ht="13.5" thickBot="1">
      <c r="C332" s="6" t="s">
        <v>118</v>
      </c>
      <c r="AG332" s="33">
        <f aca="true" t="shared" si="84" ref="AG332:AS332">SUM(AG329:AG331)</f>
        <v>42363.020000000004</v>
      </c>
      <c r="AH332" s="33">
        <f t="shared" si="84"/>
        <v>42113.020000000004</v>
      </c>
      <c r="AI332" s="33">
        <f t="shared" si="84"/>
        <v>42113.020000000004</v>
      </c>
      <c r="AJ332" s="33">
        <f t="shared" si="84"/>
        <v>42113.020000000004</v>
      </c>
      <c r="AK332" s="33">
        <f t="shared" si="84"/>
        <v>42113.020000000004</v>
      </c>
      <c r="AL332" s="33">
        <f t="shared" si="84"/>
        <v>42113.020000000004</v>
      </c>
      <c r="AM332" s="33">
        <f t="shared" si="84"/>
        <v>42113.020000000004</v>
      </c>
      <c r="AN332" s="33">
        <f t="shared" si="84"/>
        <v>42113.020000000004</v>
      </c>
      <c r="AO332" s="33">
        <f t="shared" si="84"/>
        <v>42113.020000000004</v>
      </c>
      <c r="AP332" s="33">
        <f t="shared" si="84"/>
        <v>42113.020000000004</v>
      </c>
      <c r="AQ332" s="33">
        <f t="shared" si="84"/>
        <v>42060.42</v>
      </c>
      <c r="AR332" s="39">
        <f t="shared" si="84"/>
        <v>42060.42</v>
      </c>
      <c r="AS332" s="44">
        <f t="shared" si="84"/>
        <v>505501.0400000001</v>
      </c>
    </row>
    <row r="333" spans="3:45" ht="12.75">
      <c r="C333" s="14"/>
      <c r="AS333" s="34"/>
    </row>
    <row r="334" spans="1:45" ht="21">
      <c r="A334" s="18">
        <f>+A328+1</f>
        <v>44</v>
      </c>
      <c r="B334" s="21"/>
      <c r="C334" s="5" t="s">
        <v>119</v>
      </c>
      <c r="AS334" s="34"/>
    </row>
    <row r="335" spans="3:45" ht="12.75">
      <c r="C335" s="4" t="str">
        <f>C329</f>
        <v>Debt Reserve</v>
      </c>
      <c r="AG335" s="32">
        <v>0</v>
      </c>
      <c r="AH335" s="32">
        <v>0</v>
      </c>
      <c r="AI335" s="32">
        <v>0</v>
      </c>
      <c r="AJ335" s="32">
        <v>0</v>
      </c>
      <c r="AK335" s="32">
        <v>0</v>
      </c>
      <c r="AL335" s="32">
        <v>0</v>
      </c>
      <c r="AM335" s="32">
        <v>0</v>
      </c>
      <c r="AN335" s="32">
        <v>0</v>
      </c>
      <c r="AO335" s="32">
        <v>0</v>
      </c>
      <c r="AP335" s="32">
        <v>0</v>
      </c>
      <c r="AQ335" s="32">
        <v>0</v>
      </c>
      <c r="AR335" s="38">
        <v>0</v>
      </c>
      <c r="AS335" s="32">
        <f>SUM(AG335:AR335)</f>
        <v>0</v>
      </c>
    </row>
    <row r="336" spans="3:45" ht="12.75">
      <c r="C336" s="4" t="str">
        <f>C330</f>
        <v>Treasury Fee</v>
      </c>
      <c r="AG336" s="42">
        <v>250</v>
      </c>
      <c r="AS336" s="32">
        <f>SUM(AG336:AR336)</f>
        <v>250</v>
      </c>
    </row>
    <row r="337" spans="3:45" ht="13.5" thickBot="1">
      <c r="C337" s="4" t="str">
        <f>C331</f>
        <v>Intercept</v>
      </c>
      <c r="AG337" s="32">
        <v>77603.13</v>
      </c>
      <c r="AH337" s="42">
        <f>15416.67+77603.13</f>
        <v>93019.8</v>
      </c>
      <c r="AI337" s="42">
        <f aca="true" t="shared" si="85" ref="AI337:AR337">15416.67+77603.13</f>
        <v>93019.8</v>
      </c>
      <c r="AJ337" s="42">
        <f t="shared" si="85"/>
        <v>93019.8</v>
      </c>
      <c r="AK337" s="42">
        <f t="shared" si="85"/>
        <v>93019.8</v>
      </c>
      <c r="AL337" s="42">
        <f t="shared" si="85"/>
        <v>93019.8</v>
      </c>
      <c r="AM337" s="42">
        <f t="shared" si="85"/>
        <v>93019.8</v>
      </c>
      <c r="AN337" s="42">
        <f t="shared" si="85"/>
        <v>93019.8</v>
      </c>
      <c r="AO337" s="42">
        <f t="shared" si="85"/>
        <v>93019.8</v>
      </c>
      <c r="AP337" s="42">
        <f t="shared" si="85"/>
        <v>93019.8</v>
      </c>
      <c r="AQ337" s="42">
        <f t="shared" si="85"/>
        <v>93019.8</v>
      </c>
      <c r="AR337" s="46">
        <f t="shared" si="85"/>
        <v>93019.8</v>
      </c>
      <c r="AS337" s="32">
        <f>SUM(AG337:AR337)</f>
        <v>1100820.9300000002</v>
      </c>
    </row>
    <row r="338" spans="3:45" ht="13.5" thickBot="1">
      <c r="C338" s="6" t="s">
        <v>120</v>
      </c>
      <c r="AG338" s="33">
        <f aca="true" t="shared" si="86" ref="AG338:AS338">SUM(AG335:AG337)</f>
        <v>77853.13</v>
      </c>
      <c r="AH338" s="33">
        <f t="shared" si="86"/>
        <v>93019.8</v>
      </c>
      <c r="AI338" s="33">
        <f t="shared" si="86"/>
        <v>93019.8</v>
      </c>
      <c r="AJ338" s="33">
        <f t="shared" si="86"/>
        <v>93019.8</v>
      </c>
      <c r="AK338" s="33">
        <f t="shared" si="86"/>
        <v>93019.8</v>
      </c>
      <c r="AL338" s="33">
        <f t="shared" si="86"/>
        <v>93019.8</v>
      </c>
      <c r="AM338" s="33">
        <f t="shared" si="86"/>
        <v>93019.8</v>
      </c>
      <c r="AN338" s="33">
        <f t="shared" si="86"/>
        <v>93019.8</v>
      </c>
      <c r="AO338" s="33">
        <f t="shared" si="86"/>
        <v>93019.8</v>
      </c>
      <c r="AP338" s="33">
        <f t="shared" si="86"/>
        <v>93019.8</v>
      </c>
      <c r="AQ338" s="33">
        <f t="shared" si="86"/>
        <v>93019.8</v>
      </c>
      <c r="AR338" s="39">
        <f t="shared" si="86"/>
        <v>93019.8</v>
      </c>
      <c r="AS338" s="44">
        <f t="shared" si="86"/>
        <v>1101070.9300000002</v>
      </c>
    </row>
    <row r="339" spans="3:45" ht="12.75">
      <c r="C339" s="14"/>
      <c r="AS339" s="34"/>
    </row>
    <row r="340" spans="1:45" ht="21">
      <c r="A340" s="18">
        <f>+A334+1</f>
        <v>45</v>
      </c>
      <c r="B340" s="21"/>
      <c r="C340" s="5" t="s">
        <v>121</v>
      </c>
      <c r="AS340" s="34"/>
    </row>
    <row r="341" spans="3:45" ht="12.75">
      <c r="C341" s="4" t="str">
        <f>C335</f>
        <v>Debt Reserve</v>
      </c>
      <c r="AG341" s="32">
        <v>512.08</v>
      </c>
      <c r="AH341" s="32">
        <v>512.08</v>
      </c>
      <c r="AI341" s="32">
        <v>512.08</v>
      </c>
      <c r="AJ341" s="32">
        <v>512.08</v>
      </c>
      <c r="AK341" s="32">
        <v>512.08</v>
      </c>
      <c r="AL341" s="32">
        <v>512.08</v>
      </c>
      <c r="AM341" s="32">
        <v>512.08</v>
      </c>
      <c r="AN341" s="32">
        <v>512.08</v>
      </c>
      <c r="AO341" s="32">
        <v>512.08</v>
      </c>
      <c r="AP341" s="32">
        <v>512.08</v>
      </c>
      <c r="AQ341" s="32">
        <v>512.08</v>
      </c>
      <c r="AR341" s="38">
        <v>512.08</v>
      </c>
      <c r="AS341" s="32">
        <f>SUM(AG341:AR341)</f>
        <v>6144.96</v>
      </c>
    </row>
    <row r="342" spans="3:45" ht="12.75">
      <c r="C342" s="4" t="str">
        <f>C336</f>
        <v>Treasury Fee</v>
      </c>
      <c r="AG342" s="42">
        <v>250</v>
      </c>
      <c r="AS342" s="32">
        <f>SUM(AG342:AR342)</f>
        <v>250</v>
      </c>
    </row>
    <row r="343" spans="3:45" ht="13.5" thickBot="1">
      <c r="C343" s="4" t="str">
        <f>C337</f>
        <v>Intercept</v>
      </c>
      <c r="AG343" s="32">
        <v>28804.69</v>
      </c>
      <c r="AH343" s="32">
        <v>28804.69</v>
      </c>
      <c r="AI343" s="32">
        <v>28804.69</v>
      </c>
      <c r="AJ343" s="32">
        <v>28804.69</v>
      </c>
      <c r="AK343" s="32">
        <v>28804.69</v>
      </c>
      <c r="AL343" s="32">
        <v>28804.69</v>
      </c>
      <c r="AM343" s="32">
        <v>28804.69</v>
      </c>
      <c r="AN343" s="32">
        <v>28804.69</v>
      </c>
      <c r="AO343" s="32">
        <v>28804.69</v>
      </c>
      <c r="AP343" s="32">
        <v>28804.69</v>
      </c>
      <c r="AQ343" s="32">
        <v>28804.69</v>
      </c>
      <c r="AR343" s="38">
        <v>28804.69</v>
      </c>
      <c r="AS343" s="32">
        <f>SUM(AG343:AR343)</f>
        <v>345656.27999999997</v>
      </c>
    </row>
    <row r="344" spans="3:45" ht="13.5" thickBot="1">
      <c r="C344" s="6" t="s">
        <v>26</v>
      </c>
      <c r="AG344" s="33">
        <f aca="true" t="shared" si="87" ref="AG344:AS344">SUM(AG341:AG343)</f>
        <v>29566.77</v>
      </c>
      <c r="AH344" s="33">
        <f t="shared" si="87"/>
        <v>29316.77</v>
      </c>
      <c r="AI344" s="33">
        <f t="shared" si="87"/>
        <v>29316.77</v>
      </c>
      <c r="AJ344" s="33">
        <f t="shared" si="87"/>
        <v>29316.77</v>
      </c>
      <c r="AK344" s="33">
        <f t="shared" si="87"/>
        <v>29316.77</v>
      </c>
      <c r="AL344" s="33">
        <f t="shared" si="87"/>
        <v>29316.77</v>
      </c>
      <c r="AM344" s="33">
        <f t="shared" si="87"/>
        <v>29316.77</v>
      </c>
      <c r="AN344" s="33">
        <f t="shared" si="87"/>
        <v>29316.77</v>
      </c>
      <c r="AO344" s="33">
        <f t="shared" si="87"/>
        <v>29316.77</v>
      </c>
      <c r="AP344" s="33">
        <f t="shared" si="87"/>
        <v>29316.77</v>
      </c>
      <c r="AQ344" s="33">
        <f t="shared" si="87"/>
        <v>29316.77</v>
      </c>
      <c r="AR344" s="39">
        <f t="shared" si="87"/>
        <v>29316.77</v>
      </c>
      <c r="AS344" s="44">
        <f t="shared" si="87"/>
        <v>352051.24</v>
      </c>
    </row>
    <row r="345" spans="3:45" ht="12.75">
      <c r="C345" s="14"/>
      <c r="AS345" s="34"/>
    </row>
    <row r="346" spans="1:45" ht="21">
      <c r="A346" s="18">
        <f>+A340+1</f>
        <v>46</v>
      </c>
      <c r="B346" s="21"/>
      <c r="C346" s="5" t="s">
        <v>122</v>
      </c>
      <c r="AS346" s="34"/>
    </row>
    <row r="347" spans="3:45" ht="12.75">
      <c r="C347" s="4" t="str">
        <f>C341</f>
        <v>Debt Reserve</v>
      </c>
      <c r="AG347" s="32">
        <v>1406.25</v>
      </c>
      <c r="AH347" s="32">
        <v>1406.25</v>
      </c>
      <c r="AI347" s="32">
        <v>1406.25</v>
      </c>
      <c r="AJ347" s="32">
        <v>1406.25</v>
      </c>
      <c r="AK347" s="32">
        <v>1406.25</v>
      </c>
      <c r="AL347" s="32">
        <v>1392.5</v>
      </c>
      <c r="AM347" s="32">
        <v>1392.5</v>
      </c>
      <c r="AN347" s="32">
        <v>1392.5</v>
      </c>
      <c r="AO347" s="32">
        <v>1392.5</v>
      </c>
      <c r="AP347" s="32">
        <v>1392.5</v>
      </c>
      <c r="AQ347" s="32">
        <v>1392.5</v>
      </c>
      <c r="AR347" s="38">
        <v>1392.5</v>
      </c>
      <c r="AS347" s="32">
        <f>SUM(AG347:AR347)</f>
        <v>16778.75</v>
      </c>
    </row>
    <row r="348" spans="3:45" ht="12.75">
      <c r="C348" s="4" t="str">
        <f>C342</f>
        <v>Treasury Fee</v>
      </c>
      <c r="AG348" s="42">
        <v>250</v>
      </c>
      <c r="AS348" s="32">
        <f>SUM(AG348:AR348)</f>
        <v>250</v>
      </c>
    </row>
    <row r="349" spans="3:45" ht="13.5" thickBot="1">
      <c r="C349" s="4" t="str">
        <f>C343</f>
        <v>Intercept</v>
      </c>
      <c r="AG349" s="32">
        <f>13750+104948.96</f>
        <v>118698.96</v>
      </c>
      <c r="AH349" s="32">
        <f>13750+104948.96</f>
        <v>118698.96</v>
      </c>
      <c r="AI349" s="32">
        <f>13750+104948.96</f>
        <v>118698.96</v>
      </c>
      <c r="AJ349" s="32">
        <f>13750+104948.96</f>
        <v>118698.96</v>
      </c>
      <c r="AK349" s="32">
        <f>13750+104948.96</f>
        <v>118698.96</v>
      </c>
      <c r="AL349" s="32">
        <f>14583.33+104089.58</f>
        <v>118672.91</v>
      </c>
      <c r="AM349" s="32">
        <f aca="true" t="shared" si="88" ref="AM349:AR349">14583.33+104089.58</f>
        <v>118672.91</v>
      </c>
      <c r="AN349" s="32">
        <f t="shared" si="88"/>
        <v>118672.91</v>
      </c>
      <c r="AO349" s="32">
        <f t="shared" si="88"/>
        <v>118672.91</v>
      </c>
      <c r="AP349" s="32">
        <f t="shared" si="88"/>
        <v>118672.91</v>
      </c>
      <c r="AQ349" s="32">
        <f t="shared" si="88"/>
        <v>118672.91</v>
      </c>
      <c r="AR349" s="38">
        <f t="shared" si="88"/>
        <v>118672.91</v>
      </c>
      <c r="AS349" s="32">
        <f>SUM(AG349:AR349)</f>
        <v>1424205.17</v>
      </c>
    </row>
    <row r="350" spans="3:45" ht="13.5" thickBot="1">
      <c r="C350" s="6" t="s">
        <v>123</v>
      </c>
      <c r="AG350" s="33">
        <f aca="true" t="shared" si="89" ref="AG350:AS350">SUM(AG347:AG349)</f>
        <v>120355.21</v>
      </c>
      <c r="AH350" s="33">
        <f t="shared" si="89"/>
        <v>120105.21</v>
      </c>
      <c r="AI350" s="33">
        <f t="shared" si="89"/>
        <v>120105.21</v>
      </c>
      <c r="AJ350" s="33">
        <f t="shared" si="89"/>
        <v>120105.21</v>
      </c>
      <c r="AK350" s="33">
        <f t="shared" si="89"/>
        <v>120105.21</v>
      </c>
      <c r="AL350" s="33">
        <f t="shared" si="89"/>
        <v>120065.41</v>
      </c>
      <c r="AM350" s="33">
        <f t="shared" si="89"/>
        <v>120065.41</v>
      </c>
      <c r="AN350" s="33">
        <f t="shared" si="89"/>
        <v>120065.41</v>
      </c>
      <c r="AO350" s="33">
        <f t="shared" si="89"/>
        <v>120065.41</v>
      </c>
      <c r="AP350" s="33">
        <f t="shared" si="89"/>
        <v>120065.41</v>
      </c>
      <c r="AQ350" s="33">
        <f t="shared" si="89"/>
        <v>120065.41</v>
      </c>
      <c r="AR350" s="39">
        <f t="shared" si="89"/>
        <v>120065.41</v>
      </c>
      <c r="AS350" s="44">
        <f t="shared" si="89"/>
        <v>1441233.92</v>
      </c>
    </row>
    <row r="351" spans="3:45" ht="12.75">
      <c r="C351" s="14"/>
      <c r="AS351" s="34"/>
    </row>
    <row r="352" spans="1:45" ht="21">
      <c r="A352" s="18">
        <f>+A346+1</f>
        <v>47</v>
      </c>
      <c r="B352" s="21"/>
      <c r="C352" s="5" t="s">
        <v>124</v>
      </c>
      <c r="AS352" s="34"/>
    </row>
    <row r="353" spans="3:45" ht="12.75">
      <c r="C353" s="4" t="str">
        <f>C347</f>
        <v>Debt Reserve</v>
      </c>
      <c r="AG353" s="32">
        <v>0</v>
      </c>
      <c r="AH353" s="32">
        <v>0</v>
      </c>
      <c r="AI353" s="32">
        <v>0</v>
      </c>
      <c r="AJ353" s="32">
        <v>0</v>
      </c>
      <c r="AK353" s="32">
        <v>0</v>
      </c>
      <c r="AL353" s="32">
        <v>0</v>
      </c>
      <c r="AM353" s="32">
        <v>0</v>
      </c>
      <c r="AN353" s="32">
        <v>0</v>
      </c>
      <c r="AO353" s="32">
        <v>0</v>
      </c>
      <c r="AP353" s="32">
        <v>0</v>
      </c>
      <c r="AQ353" s="32">
        <v>0</v>
      </c>
      <c r="AR353" s="38">
        <v>0</v>
      </c>
      <c r="AS353" s="32">
        <f>SUM(AG353:AR353)</f>
        <v>0</v>
      </c>
    </row>
    <row r="354" spans="3:45" ht="12.75">
      <c r="C354" s="4" t="str">
        <f>C348</f>
        <v>Treasury Fee</v>
      </c>
      <c r="AG354" s="42">
        <v>250</v>
      </c>
      <c r="AS354" s="32">
        <f>SUM(AG354:AR354)</f>
        <v>250</v>
      </c>
    </row>
    <row r="355" spans="3:45" ht="13.5" thickBot="1">
      <c r="C355" s="4" t="str">
        <f>C349</f>
        <v>Intercept</v>
      </c>
      <c r="AG355" s="32">
        <f>8333.33+74937.5</f>
        <v>83270.83</v>
      </c>
      <c r="AH355" s="32">
        <f>8333.33+74937.5</f>
        <v>83270.83</v>
      </c>
      <c r="AI355" s="32">
        <f>8333.33+74937.5</f>
        <v>83270.83</v>
      </c>
      <c r="AJ355" s="32">
        <f>8333.33+74937.5</f>
        <v>83270.83</v>
      </c>
      <c r="AK355" s="32">
        <f>8750+74250</f>
        <v>83000</v>
      </c>
      <c r="AL355" s="32">
        <f aca="true" t="shared" si="90" ref="AL355:AR355">8750+74250</f>
        <v>83000</v>
      </c>
      <c r="AM355" s="32">
        <f t="shared" si="90"/>
        <v>83000</v>
      </c>
      <c r="AN355" s="32">
        <f t="shared" si="90"/>
        <v>83000</v>
      </c>
      <c r="AO355" s="32">
        <f t="shared" si="90"/>
        <v>83000</v>
      </c>
      <c r="AP355" s="32">
        <f t="shared" si="90"/>
        <v>83000</v>
      </c>
      <c r="AQ355" s="32">
        <f t="shared" si="90"/>
        <v>83000</v>
      </c>
      <c r="AR355" s="38">
        <f t="shared" si="90"/>
        <v>83000</v>
      </c>
      <c r="AS355" s="32">
        <f>SUM(AG355:AR355)</f>
        <v>997083.3200000001</v>
      </c>
    </row>
    <row r="356" spans="3:45" ht="13.5" thickBot="1">
      <c r="C356" s="6" t="s">
        <v>125</v>
      </c>
      <c r="AG356" s="33">
        <f aca="true" t="shared" si="91" ref="AG356:AS356">SUM(AG353:AG355)</f>
        <v>83520.83</v>
      </c>
      <c r="AH356" s="33">
        <f t="shared" si="91"/>
        <v>83270.83</v>
      </c>
      <c r="AI356" s="33">
        <f t="shared" si="91"/>
        <v>83270.83</v>
      </c>
      <c r="AJ356" s="33">
        <f t="shared" si="91"/>
        <v>83270.83</v>
      </c>
      <c r="AK356" s="33">
        <f t="shared" si="91"/>
        <v>83000</v>
      </c>
      <c r="AL356" s="33">
        <f t="shared" si="91"/>
        <v>83000</v>
      </c>
      <c r="AM356" s="33">
        <f t="shared" si="91"/>
        <v>83000</v>
      </c>
      <c r="AN356" s="33">
        <f t="shared" si="91"/>
        <v>83000</v>
      </c>
      <c r="AO356" s="33">
        <f t="shared" si="91"/>
        <v>83000</v>
      </c>
      <c r="AP356" s="33">
        <f t="shared" si="91"/>
        <v>83000</v>
      </c>
      <c r="AQ356" s="33">
        <f t="shared" si="91"/>
        <v>83000</v>
      </c>
      <c r="AR356" s="39">
        <f t="shared" si="91"/>
        <v>83000</v>
      </c>
      <c r="AS356" s="44">
        <f t="shared" si="91"/>
        <v>997333.3200000001</v>
      </c>
    </row>
    <row r="357" spans="3:45" ht="12.75">
      <c r="C357" s="14"/>
      <c r="AS357" s="34"/>
    </row>
    <row r="358" spans="1:45" ht="21">
      <c r="A358" s="18">
        <f>+A352+1</f>
        <v>48</v>
      </c>
      <c r="B358" s="21"/>
      <c r="C358" s="5" t="s">
        <v>126</v>
      </c>
      <c r="AS358" s="34"/>
    </row>
    <row r="359" spans="3:45" ht="12.75">
      <c r="C359" s="4" t="str">
        <f>C353</f>
        <v>Debt Reserve</v>
      </c>
      <c r="AG359" s="32">
        <v>1186.25</v>
      </c>
      <c r="AH359" s="32">
        <v>1186.25</v>
      </c>
      <c r="AI359" s="32">
        <v>1186.25</v>
      </c>
      <c r="AJ359" s="32">
        <v>1186.25</v>
      </c>
      <c r="AK359" s="32">
        <v>1171.67</v>
      </c>
      <c r="AL359" s="32">
        <v>1171.67</v>
      </c>
      <c r="AM359" s="32">
        <v>1171.67</v>
      </c>
      <c r="AN359" s="32">
        <v>1171.67</v>
      </c>
      <c r="AO359" s="32">
        <v>1171.67</v>
      </c>
      <c r="AP359" s="32">
        <v>1171.67</v>
      </c>
      <c r="AQ359" s="32">
        <v>1171.67</v>
      </c>
      <c r="AR359" s="38">
        <v>1171.67</v>
      </c>
      <c r="AS359" s="32">
        <f>SUM(AG359:AR359)</f>
        <v>14118.36</v>
      </c>
    </row>
    <row r="360" spans="3:45" ht="12.75">
      <c r="C360" s="4" t="str">
        <f>C354</f>
        <v>Treasury Fee</v>
      </c>
      <c r="AG360" s="42">
        <v>250</v>
      </c>
      <c r="AS360" s="32">
        <f>SUM(AG360:AR360)</f>
        <v>250</v>
      </c>
    </row>
    <row r="361" spans="3:45" ht="13.5" thickBot="1">
      <c r="C361" s="4" t="str">
        <f>C355</f>
        <v>Intercept</v>
      </c>
      <c r="AG361" s="32">
        <f>14583.33+80426.04</f>
        <v>95009.37</v>
      </c>
      <c r="AH361" s="32">
        <f>14583.33+80426.04</f>
        <v>95009.37</v>
      </c>
      <c r="AI361" s="32">
        <f>14583.33+80426.04</f>
        <v>95009.37</v>
      </c>
      <c r="AJ361" s="32">
        <f>14583.33+80426.04</f>
        <v>95009.37</v>
      </c>
      <c r="AK361" s="32">
        <f>15416.67+79587.5</f>
        <v>95004.17</v>
      </c>
      <c r="AL361" s="32">
        <f aca="true" t="shared" si="92" ref="AL361:AR361">15416.67+79587.5</f>
        <v>95004.17</v>
      </c>
      <c r="AM361" s="32">
        <f t="shared" si="92"/>
        <v>95004.17</v>
      </c>
      <c r="AN361" s="32">
        <f t="shared" si="92"/>
        <v>95004.17</v>
      </c>
      <c r="AO361" s="32">
        <f t="shared" si="92"/>
        <v>95004.17</v>
      </c>
      <c r="AP361" s="32">
        <f t="shared" si="92"/>
        <v>95004.17</v>
      </c>
      <c r="AQ361" s="32">
        <f t="shared" si="92"/>
        <v>95004.17</v>
      </c>
      <c r="AR361" s="38">
        <f t="shared" si="92"/>
        <v>95004.17</v>
      </c>
      <c r="AS361" s="32">
        <f>SUM(AG361:AR361)</f>
        <v>1140070.84</v>
      </c>
    </row>
    <row r="362" spans="3:45" ht="13.5" thickBot="1">
      <c r="C362" s="6" t="s">
        <v>127</v>
      </c>
      <c r="AG362" s="33">
        <f aca="true" t="shared" si="93" ref="AG362:AS362">SUM(AG359:AG361)</f>
        <v>96445.62</v>
      </c>
      <c r="AH362" s="33">
        <f t="shared" si="93"/>
        <v>96195.62</v>
      </c>
      <c r="AI362" s="33">
        <f t="shared" si="93"/>
        <v>96195.62</v>
      </c>
      <c r="AJ362" s="33">
        <f t="shared" si="93"/>
        <v>96195.62</v>
      </c>
      <c r="AK362" s="33">
        <f t="shared" si="93"/>
        <v>96175.84</v>
      </c>
      <c r="AL362" s="33">
        <f t="shared" si="93"/>
        <v>96175.84</v>
      </c>
      <c r="AM362" s="33">
        <f t="shared" si="93"/>
        <v>96175.84</v>
      </c>
      <c r="AN362" s="33">
        <f t="shared" si="93"/>
        <v>96175.84</v>
      </c>
      <c r="AO362" s="33">
        <f t="shared" si="93"/>
        <v>96175.84</v>
      </c>
      <c r="AP362" s="33">
        <f t="shared" si="93"/>
        <v>96175.84</v>
      </c>
      <c r="AQ362" s="33">
        <f t="shared" si="93"/>
        <v>96175.84</v>
      </c>
      <c r="AR362" s="39">
        <f t="shared" si="93"/>
        <v>96175.84</v>
      </c>
      <c r="AS362" s="44">
        <f t="shared" si="93"/>
        <v>1154439.2000000002</v>
      </c>
    </row>
    <row r="363" spans="3:45" ht="12.75">
      <c r="C363" s="14"/>
      <c r="AS363" s="34"/>
    </row>
    <row r="364" spans="1:45" ht="21">
      <c r="A364" s="18">
        <f>+A358+1</f>
        <v>49</v>
      </c>
      <c r="B364" s="21"/>
      <c r="C364" s="5" t="s">
        <v>128</v>
      </c>
      <c r="AS364" s="34"/>
    </row>
    <row r="365" spans="1:45" ht="12.75">
      <c r="A365" s="25"/>
      <c r="B365" s="25"/>
      <c r="C365" s="4" t="str">
        <f>C359</f>
        <v>Debt Reserve</v>
      </c>
      <c r="AG365" s="32">
        <v>1051.25</v>
      </c>
      <c r="AH365" s="32">
        <v>1051.25</v>
      </c>
      <c r="AI365" s="32">
        <v>1051.25</v>
      </c>
      <c r="AJ365" s="32">
        <v>1051.25</v>
      </c>
      <c r="AK365" s="32">
        <v>1051.25</v>
      </c>
      <c r="AL365" s="32">
        <v>1039.17</v>
      </c>
      <c r="AM365" s="32">
        <v>1039.17</v>
      </c>
      <c r="AN365" s="32">
        <v>1039.17</v>
      </c>
      <c r="AO365" s="32">
        <v>1039.17</v>
      </c>
      <c r="AP365" s="32">
        <v>1039.17</v>
      </c>
      <c r="AQ365" s="32">
        <v>1039.17</v>
      </c>
      <c r="AR365" s="38">
        <v>1039.17</v>
      </c>
      <c r="AS365" s="32">
        <f>SUM(AG365:AR365)</f>
        <v>12530.44</v>
      </c>
    </row>
    <row r="366" spans="3:45" ht="12.75">
      <c r="C366" s="4" t="str">
        <f>C360</f>
        <v>Treasury Fee</v>
      </c>
      <c r="AG366">
        <v>250</v>
      </c>
      <c r="AS366" s="32">
        <f>SUM(AG366:AR366)</f>
        <v>250</v>
      </c>
    </row>
    <row r="367" spans="3:45" ht="13.5" thickBot="1">
      <c r="C367" s="4" t="str">
        <f>C361</f>
        <v>Intercept</v>
      </c>
      <c r="AG367" s="32">
        <f>12916.67+84192.92</f>
        <v>97109.59</v>
      </c>
      <c r="AH367" s="32">
        <f>12916.67+84192.92</f>
        <v>97109.59</v>
      </c>
      <c r="AI367" s="32">
        <f>12916.67+84192.92</f>
        <v>97109.59</v>
      </c>
      <c r="AJ367" s="32">
        <f>12916.67+84192.92</f>
        <v>97109.59</v>
      </c>
      <c r="AK367" s="32">
        <f>12916.67+84192.92</f>
        <v>97109.59</v>
      </c>
      <c r="AL367" s="32">
        <f>13333.33+83310.63</f>
        <v>96643.96</v>
      </c>
      <c r="AM367" s="32">
        <f aca="true" t="shared" si="94" ref="AM367:AR367">13333.33+83310.63</f>
        <v>96643.96</v>
      </c>
      <c r="AN367" s="32">
        <f t="shared" si="94"/>
        <v>96643.96</v>
      </c>
      <c r="AO367" s="32">
        <f t="shared" si="94"/>
        <v>96643.96</v>
      </c>
      <c r="AP367" s="32">
        <f t="shared" si="94"/>
        <v>96643.96</v>
      </c>
      <c r="AQ367" s="32">
        <f t="shared" si="94"/>
        <v>96643.96</v>
      </c>
      <c r="AR367" s="38">
        <f t="shared" si="94"/>
        <v>96643.96</v>
      </c>
      <c r="AS367" s="32">
        <f>SUM(AG367:AR367)</f>
        <v>1162055.6699999997</v>
      </c>
    </row>
    <row r="368" spans="3:45" ht="13.5" thickBot="1">
      <c r="C368" s="6" t="s">
        <v>129</v>
      </c>
      <c r="AG368" s="33">
        <f aca="true" t="shared" si="95" ref="AG368:AS368">SUM(AG365:AG367)</f>
        <v>98410.84</v>
      </c>
      <c r="AH368" s="33">
        <f t="shared" si="95"/>
        <v>98160.84</v>
      </c>
      <c r="AI368" s="33">
        <f t="shared" si="95"/>
        <v>98160.84</v>
      </c>
      <c r="AJ368" s="33">
        <f t="shared" si="95"/>
        <v>98160.84</v>
      </c>
      <c r="AK368" s="33">
        <f t="shared" si="95"/>
        <v>98160.84</v>
      </c>
      <c r="AL368" s="33">
        <f t="shared" si="95"/>
        <v>97683.13</v>
      </c>
      <c r="AM368" s="33">
        <f t="shared" si="95"/>
        <v>97683.13</v>
      </c>
      <c r="AN368" s="33">
        <f t="shared" si="95"/>
        <v>97683.13</v>
      </c>
      <c r="AO368" s="33">
        <f t="shared" si="95"/>
        <v>97683.13</v>
      </c>
      <c r="AP368" s="33">
        <f t="shared" si="95"/>
        <v>97683.13</v>
      </c>
      <c r="AQ368" s="33">
        <f t="shared" si="95"/>
        <v>97683.13</v>
      </c>
      <c r="AR368" s="39">
        <f t="shared" si="95"/>
        <v>97683.13</v>
      </c>
      <c r="AS368" s="44">
        <f t="shared" si="95"/>
        <v>1174836.1099999996</v>
      </c>
    </row>
    <row r="369" spans="3:45" ht="12.75">
      <c r="C369" s="14"/>
      <c r="AS369" s="34"/>
    </row>
    <row r="370" spans="1:45" ht="21">
      <c r="A370" s="18">
        <f>+A364+1</f>
        <v>50</v>
      </c>
      <c r="B370" s="21"/>
      <c r="C370" s="5" t="s">
        <v>130</v>
      </c>
      <c r="AS370" s="34"/>
    </row>
    <row r="371" spans="1:45" ht="12.75">
      <c r="A371" s="25"/>
      <c r="B371" s="25"/>
      <c r="C371" s="4" t="str">
        <f>C365</f>
        <v>Debt Reserve</v>
      </c>
      <c r="AG371" s="32">
        <v>0</v>
      </c>
      <c r="AH371" s="32">
        <v>0</v>
      </c>
      <c r="AI371" s="32">
        <v>0</v>
      </c>
      <c r="AJ371" s="32">
        <v>0</v>
      </c>
      <c r="AK371" s="32">
        <v>0</v>
      </c>
      <c r="AL371" s="32">
        <v>0</v>
      </c>
      <c r="AM371" s="32">
        <v>0</v>
      </c>
      <c r="AN371" s="32">
        <v>0</v>
      </c>
      <c r="AO371" s="32">
        <v>0</v>
      </c>
      <c r="AP371" s="32">
        <v>0</v>
      </c>
      <c r="AQ371" s="32">
        <v>0</v>
      </c>
      <c r="AR371" s="38">
        <v>0</v>
      </c>
      <c r="AS371" s="32">
        <f>SUM(AG371:AR371)</f>
        <v>0</v>
      </c>
    </row>
    <row r="372" spans="3:45" ht="12.75">
      <c r="C372" s="4" t="str">
        <f>C366</f>
        <v>Treasury Fee</v>
      </c>
      <c r="AG372" s="42">
        <v>250</v>
      </c>
      <c r="AS372" s="32">
        <f>SUM(AG372:AR372)</f>
        <v>250</v>
      </c>
    </row>
    <row r="373" spans="3:45" ht="13.5" thickBot="1">
      <c r="C373" s="4" t="str">
        <f>C367</f>
        <v>Intercept</v>
      </c>
      <c r="AG373" s="32">
        <f>833.33+9735.42</f>
        <v>10568.75</v>
      </c>
      <c r="AH373" s="32">
        <f>833.33+9735.42</f>
        <v>10568.75</v>
      </c>
      <c r="AI373" s="32">
        <f>833.33+9735.42</f>
        <v>10568.75</v>
      </c>
      <c r="AJ373" s="32">
        <f>833.33+9662.5</f>
        <v>10495.83</v>
      </c>
      <c r="AK373" s="32">
        <f aca="true" t="shared" si="96" ref="AK373:AR373">833.33+9662.5</f>
        <v>10495.83</v>
      </c>
      <c r="AL373" s="32">
        <f t="shared" si="96"/>
        <v>10495.83</v>
      </c>
      <c r="AM373" s="32">
        <f t="shared" si="96"/>
        <v>10495.83</v>
      </c>
      <c r="AN373" s="32">
        <f t="shared" si="96"/>
        <v>10495.83</v>
      </c>
      <c r="AO373" s="32">
        <f t="shared" si="96"/>
        <v>10495.83</v>
      </c>
      <c r="AP373" s="32">
        <f t="shared" si="96"/>
        <v>10495.83</v>
      </c>
      <c r="AQ373" s="32">
        <f t="shared" si="96"/>
        <v>10495.83</v>
      </c>
      <c r="AR373" s="38">
        <f t="shared" si="96"/>
        <v>10495.83</v>
      </c>
      <c r="AS373" s="32">
        <f>SUM(AG373:AR373)</f>
        <v>126168.72000000002</v>
      </c>
    </row>
    <row r="374" spans="3:45" ht="13.5" thickBot="1">
      <c r="C374" s="6" t="s">
        <v>100</v>
      </c>
      <c r="AG374" s="33">
        <f aca="true" t="shared" si="97" ref="AG374:AS374">SUM(AG371:AG373)</f>
        <v>10818.75</v>
      </c>
      <c r="AH374" s="33">
        <f t="shared" si="97"/>
        <v>10568.75</v>
      </c>
      <c r="AI374" s="33">
        <f t="shared" si="97"/>
        <v>10568.75</v>
      </c>
      <c r="AJ374" s="33">
        <f t="shared" si="97"/>
        <v>10495.83</v>
      </c>
      <c r="AK374" s="33">
        <f t="shared" si="97"/>
        <v>10495.83</v>
      </c>
      <c r="AL374" s="33">
        <f t="shared" si="97"/>
        <v>10495.83</v>
      </c>
      <c r="AM374" s="33">
        <f t="shared" si="97"/>
        <v>10495.83</v>
      </c>
      <c r="AN374" s="33">
        <f t="shared" si="97"/>
        <v>10495.83</v>
      </c>
      <c r="AO374" s="33">
        <f t="shared" si="97"/>
        <v>10495.83</v>
      </c>
      <c r="AP374" s="33">
        <f t="shared" si="97"/>
        <v>10495.83</v>
      </c>
      <c r="AQ374" s="33">
        <f t="shared" si="97"/>
        <v>10495.83</v>
      </c>
      <c r="AR374" s="39">
        <f t="shared" si="97"/>
        <v>10495.83</v>
      </c>
      <c r="AS374" s="44">
        <f t="shared" si="97"/>
        <v>126418.72000000002</v>
      </c>
    </row>
    <row r="375" spans="3:45" ht="12.75">
      <c r="C375" s="14"/>
      <c r="AS375" s="34"/>
    </row>
    <row r="376" spans="1:45" ht="21">
      <c r="A376" s="18">
        <f>+A370+1</f>
        <v>51</v>
      </c>
      <c r="B376" s="21"/>
      <c r="C376" s="5" t="s">
        <v>133</v>
      </c>
      <c r="AS376" s="34"/>
    </row>
    <row r="377" spans="1:45" ht="12.75">
      <c r="A377" s="25"/>
      <c r="B377" s="25"/>
      <c r="C377" s="4" t="str">
        <f>C371</f>
        <v>Debt Reserve</v>
      </c>
      <c r="AG377" s="32">
        <v>646.25</v>
      </c>
      <c r="AH377" s="32">
        <v>646.25</v>
      </c>
      <c r="AI377" s="32">
        <v>646.25</v>
      </c>
      <c r="AJ377" s="32">
        <v>638.33</v>
      </c>
      <c r="AK377" s="32">
        <v>638.33</v>
      </c>
      <c r="AL377" s="32">
        <v>638.33</v>
      </c>
      <c r="AM377" s="32">
        <v>638.33</v>
      </c>
      <c r="AN377" s="32">
        <v>638.33</v>
      </c>
      <c r="AO377" s="32">
        <v>638.33</v>
      </c>
      <c r="AP377" s="32">
        <v>638.33</v>
      </c>
      <c r="AQ377" s="32">
        <v>638.33</v>
      </c>
      <c r="AR377" s="38">
        <v>638.33</v>
      </c>
      <c r="AS377" s="32">
        <f>SUM(AG377:AR377)</f>
        <v>7683.719999999999</v>
      </c>
    </row>
    <row r="378" spans="3:45" ht="12.75">
      <c r="C378" s="4" t="str">
        <f>C372</f>
        <v>Treasury Fee</v>
      </c>
      <c r="AG378" s="42">
        <v>250</v>
      </c>
      <c r="AS378" s="32">
        <f>SUM(AG378:AR378)</f>
        <v>250</v>
      </c>
    </row>
    <row r="379" spans="3:45" ht="13.5" thickBot="1">
      <c r="C379" s="4" t="str">
        <f>C373</f>
        <v>Intercept</v>
      </c>
      <c r="AG379" s="32">
        <f>11250+30116.67</f>
        <v>41366.67</v>
      </c>
      <c r="AH379" s="32">
        <f aca="true" t="shared" si="98" ref="AH379:AR379">11250+30116.67</f>
        <v>41366.67</v>
      </c>
      <c r="AI379" s="32">
        <f t="shared" si="98"/>
        <v>41366.67</v>
      </c>
      <c r="AJ379" s="32">
        <f t="shared" si="98"/>
        <v>41366.67</v>
      </c>
      <c r="AK379" s="32">
        <f t="shared" si="98"/>
        <v>41366.67</v>
      </c>
      <c r="AL379" s="32">
        <f t="shared" si="98"/>
        <v>41366.67</v>
      </c>
      <c r="AM379" s="32">
        <f t="shared" si="98"/>
        <v>41366.67</v>
      </c>
      <c r="AN379" s="32">
        <f t="shared" si="98"/>
        <v>41366.67</v>
      </c>
      <c r="AO379" s="32">
        <f t="shared" si="98"/>
        <v>41366.67</v>
      </c>
      <c r="AP379" s="32">
        <f t="shared" si="98"/>
        <v>41366.67</v>
      </c>
      <c r="AQ379" s="32">
        <f t="shared" si="98"/>
        <v>41366.67</v>
      </c>
      <c r="AR379" s="38">
        <f t="shared" si="98"/>
        <v>41366.67</v>
      </c>
      <c r="AS379" s="32">
        <f>SUM(AG379:AR379)</f>
        <v>496400.03999999986</v>
      </c>
    </row>
    <row r="380" spans="3:45" ht="13.5" thickBot="1">
      <c r="C380" s="6" t="s">
        <v>134</v>
      </c>
      <c r="AG380" s="33">
        <f aca="true" t="shared" si="99" ref="AG380:AS380">SUM(AG377:AG379)</f>
        <v>42262.92</v>
      </c>
      <c r="AH380" s="33">
        <f t="shared" si="99"/>
        <v>42012.92</v>
      </c>
      <c r="AI380" s="33">
        <f t="shared" si="99"/>
        <v>42012.92</v>
      </c>
      <c r="AJ380" s="33">
        <f t="shared" si="99"/>
        <v>42005</v>
      </c>
      <c r="AK380" s="33">
        <f t="shared" si="99"/>
        <v>42005</v>
      </c>
      <c r="AL380" s="33">
        <f t="shared" si="99"/>
        <v>42005</v>
      </c>
      <c r="AM380" s="33">
        <f t="shared" si="99"/>
        <v>42005</v>
      </c>
      <c r="AN380" s="33">
        <f t="shared" si="99"/>
        <v>42005</v>
      </c>
      <c r="AO380" s="33">
        <f t="shared" si="99"/>
        <v>42005</v>
      </c>
      <c r="AP380" s="33">
        <f t="shared" si="99"/>
        <v>42005</v>
      </c>
      <c r="AQ380" s="33">
        <f t="shared" si="99"/>
        <v>42005</v>
      </c>
      <c r="AR380" s="39">
        <f t="shared" si="99"/>
        <v>42005</v>
      </c>
      <c r="AS380" s="44">
        <f t="shared" si="99"/>
        <v>504333.75999999983</v>
      </c>
    </row>
    <row r="381" spans="3:45" ht="12.75">
      <c r="C381" s="14"/>
      <c r="AS381" s="34"/>
    </row>
    <row r="382" spans="1:45" ht="21">
      <c r="A382" s="18">
        <f>+A376+1</f>
        <v>52</v>
      </c>
      <c r="B382" s="19" t="s">
        <v>107</v>
      </c>
      <c r="C382" s="8" t="s">
        <v>135</v>
      </c>
      <c r="AS382" s="34"/>
    </row>
    <row r="383" spans="1:45" ht="12.75">
      <c r="A383" s="25"/>
      <c r="B383" s="25"/>
      <c r="C383" s="4" t="str">
        <f>C377</f>
        <v>Debt Reserve</v>
      </c>
      <c r="AG383" s="32">
        <v>1079.17</v>
      </c>
      <c r="AH383" s="32">
        <v>1079.17</v>
      </c>
      <c r="AI383" s="32">
        <v>1079.17</v>
      </c>
      <c r="AJ383" s="32">
        <v>1079.17</v>
      </c>
      <c r="AK383" s="32">
        <v>1079.17</v>
      </c>
      <c r="AL383" s="32">
        <v>1079.17</v>
      </c>
      <c r="AM383" s="32">
        <v>1061.67</v>
      </c>
      <c r="AN383" s="32">
        <v>1061.67</v>
      </c>
      <c r="AO383" s="32">
        <v>1061.67</v>
      </c>
      <c r="AP383" s="32">
        <v>1061.67</v>
      </c>
      <c r="AQ383" s="32">
        <v>1061.67</v>
      </c>
      <c r="AR383" s="38">
        <v>1061.67</v>
      </c>
      <c r="AS383" s="32">
        <f>SUM(AG383:AR383)</f>
        <v>12845.04</v>
      </c>
    </row>
    <row r="384" spans="3:45" ht="12.75">
      <c r="C384" s="4" t="str">
        <f>C378</f>
        <v>Treasury Fee</v>
      </c>
      <c r="AG384" s="42">
        <v>250</v>
      </c>
      <c r="AS384" s="32">
        <f>SUM(AG384:AR384)</f>
        <v>250</v>
      </c>
    </row>
    <row r="385" spans="3:45" ht="13.5" thickBot="1">
      <c r="C385" s="4" t="str">
        <f>C379</f>
        <v>Intercept</v>
      </c>
      <c r="AG385" s="32">
        <f>17500+52350</f>
        <v>69850</v>
      </c>
      <c r="AH385" s="32">
        <f>17500+52350</f>
        <v>69850</v>
      </c>
      <c r="AI385" s="32">
        <f>17500+52350</f>
        <v>69850</v>
      </c>
      <c r="AJ385" s="32">
        <f>17500+52350</f>
        <v>69850</v>
      </c>
      <c r="AK385" s="32">
        <f>17500+52350</f>
        <v>69850</v>
      </c>
      <c r="AL385" s="32">
        <f>17916.67+51930</f>
        <v>69846.67</v>
      </c>
      <c r="AM385" s="32">
        <f aca="true" t="shared" si="100" ref="AM385:AR385">17916.67+51930</f>
        <v>69846.67</v>
      </c>
      <c r="AN385" s="32">
        <f t="shared" si="100"/>
        <v>69846.67</v>
      </c>
      <c r="AO385" s="32">
        <f t="shared" si="100"/>
        <v>69846.67</v>
      </c>
      <c r="AP385" s="32">
        <f t="shared" si="100"/>
        <v>69846.67</v>
      </c>
      <c r="AQ385" s="32">
        <f t="shared" si="100"/>
        <v>69846.67</v>
      </c>
      <c r="AR385" s="38">
        <f t="shared" si="100"/>
        <v>69846.67</v>
      </c>
      <c r="AS385" s="32">
        <f>SUM(AG385:AR385)</f>
        <v>838176.6900000002</v>
      </c>
    </row>
    <row r="386" spans="3:45" ht="13.5" thickBot="1">
      <c r="C386" s="6" t="s">
        <v>136</v>
      </c>
      <c r="AG386" s="33">
        <f aca="true" t="shared" si="101" ref="AG386:AS386">SUM(AG383:AG385)</f>
        <v>71179.17</v>
      </c>
      <c r="AH386" s="33">
        <f t="shared" si="101"/>
        <v>70929.17</v>
      </c>
      <c r="AI386" s="33">
        <f t="shared" si="101"/>
        <v>70929.17</v>
      </c>
      <c r="AJ386" s="33">
        <f t="shared" si="101"/>
        <v>70929.17</v>
      </c>
      <c r="AK386" s="33">
        <f t="shared" si="101"/>
        <v>70929.17</v>
      </c>
      <c r="AL386" s="33">
        <f t="shared" si="101"/>
        <v>70925.84</v>
      </c>
      <c r="AM386" s="33">
        <f t="shared" si="101"/>
        <v>70908.34</v>
      </c>
      <c r="AN386" s="33">
        <f t="shared" si="101"/>
        <v>70908.34</v>
      </c>
      <c r="AO386" s="33">
        <f t="shared" si="101"/>
        <v>70908.34</v>
      </c>
      <c r="AP386" s="33">
        <f t="shared" si="101"/>
        <v>70908.34</v>
      </c>
      <c r="AQ386" s="33">
        <f t="shared" si="101"/>
        <v>70908.34</v>
      </c>
      <c r="AR386" s="39">
        <f t="shared" si="101"/>
        <v>70908.34</v>
      </c>
      <c r="AS386" s="44">
        <f t="shared" si="101"/>
        <v>851271.7300000002</v>
      </c>
    </row>
    <row r="387" spans="3:45" ht="12.75">
      <c r="C387" s="14"/>
      <c r="AS387" s="34"/>
    </row>
    <row r="388" spans="1:45" ht="21">
      <c r="A388" s="18">
        <f>+A382+1</f>
        <v>53</v>
      </c>
      <c r="B388" s="19" t="s">
        <v>107</v>
      </c>
      <c r="C388" s="8" t="s">
        <v>137</v>
      </c>
      <c r="AS388" s="34"/>
    </row>
    <row r="389" spans="1:45" ht="12.75">
      <c r="A389" s="25"/>
      <c r="B389" s="25"/>
      <c r="C389" s="4" t="str">
        <f>C383</f>
        <v>Debt Reserve</v>
      </c>
      <c r="AG389" s="32">
        <v>994.17</v>
      </c>
      <c r="AH389" s="32">
        <v>994.17</v>
      </c>
      <c r="AI389" s="32">
        <v>994.17</v>
      </c>
      <c r="AJ389" s="32">
        <v>994.17</v>
      </c>
      <c r="AK389" s="32">
        <v>994.17</v>
      </c>
      <c r="AL389" s="32">
        <v>994.17</v>
      </c>
      <c r="AM389" s="32">
        <v>994.17</v>
      </c>
      <c r="AN389" s="32">
        <v>994.17</v>
      </c>
      <c r="AO389" s="32">
        <v>990</v>
      </c>
      <c r="AP389" s="32">
        <v>990</v>
      </c>
      <c r="AQ389" s="32">
        <v>990</v>
      </c>
      <c r="AR389" s="38">
        <v>990</v>
      </c>
      <c r="AS389" s="32">
        <f>SUM(AG389:AR389)</f>
        <v>11913.36</v>
      </c>
    </row>
    <row r="390" spans="3:45" ht="12.75">
      <c r="C390" s="4" t="str">
        <f>C384</f>
        <v>Treasury Fee</v>
      </c>
      <c r="AG390" s="42">
        <v>250</v>
      </c>
      <c r="AS390" s="32">
        <f>SUM(AG390:AR390)</f>
        <v>250</v>
      </c>
    </row>
    <row r="391" spans="3:45" ht="13.5" thickBot="1">
      <c r="C391" s="4" t="str">
        <f>C385</f>
        <v>Intercept</v>
      </c>
      <c r="AG391" s="32">
        <v>0</v>
      </c>
      <c r="AH391" s="32">
        <v>0</v>
      </c>
      <c r="AI391" s="32">
        <v>0</v>
      </c>
      <c r="AJ391" s="32">
        <v>0</v>
      </c>
      <c r="AK391" s="42">
        <f>12500+50979.17</f>
        <v>63479.17</v>
      </c>
      <c r="AL391" s="42">
        <f>12500+50979.17</f>
        <v>63479.17</v>
      </c>
      <c r="AM391" s="42">
        <f>12500+50979.17</f>
        <v>63479.17</v>
      </c>
      <c r="AN391" s="42">
        <f>12500+50979.17</f>
        <v>63479.17</v>
      </c>
      <c r="AO391" s="42">
        <f>16666.67+50880.21</f>
        <v>67546.88</v>
      </c>
      <c r="AP391" s="42">
        <f>16666.67+50880.21</f>
        <v>67546.88</v>
      </c>
      <c r="AQ391" s="42">
        <f>16666.67+50880.21</f>
        <v>67546.88</v>
      </c>
      <c r="AR391" s="46">
        <f>16666.67+50880.21</f>
        <v>67546.88</v>
      </c>
      <c r="AS391" s="32">
        <f>SUM(AG391:AR391)</f>
        <v>524104.2</v>
      </c>
    </row>
    <row r="392" spans="3:45" ht="13.5" thickBot="1">
      <c r="C392" s="6" t="s">
        <v>138</v>
      </c>
      <c r="AG392" s="33">
        <f aca="true" t="shared" si="102" ref="AG392:AS392">SUM(AG389:AG391)</f>
        <v>1244.17</v>
      </c>
      <c r="AH392" s="33">
        <f t="shared" si="102"/>
        <v>994.17</v>
      </c>
      <c r="AI392" s="33">
        <f t="shared" si="102"/>
        <v>994.17</v>
      </c>
      <c r="AJ392" s="33">
        <f t="shared" si="102"/>
        <v>994.17</v>
      </c>
      <c r="AK392" s="33">
        <f t="shared" si="102"/>
        <v>64473.34</v>
      </c>
      <c r="AL392" s="33">
        <f t="shared" si="102"/>
        <v>64473.34</v>
      </c>
      <c r="AM392" s="33">
        <f t="shared" si="102"/>
        <v>64473.34</v>
      </c>
      <c r="AN392" s="33">
        <f t="shared" si="102"/>
        <v>64473.34</v>
      </c>
      <c r="AO392" s="33">
        <f t="shared" si="102"/>
        <v>68536.88</v>
      </c>
      <c r="AP392" s="33">
        <f t="shared" si="102"/>
        <v>68536.88</v>
      </c>
      <c r="AQ392" s="33">
        <f t="shared" si="102"/>
        <v>68536.88</v>
      </c>
      <c r="AR392" s="39">
        <f t="shared" si="102"/>
        <v>68536.88</v>
      </c>
      <c r="AS392" s="44">
        <f t="shared" si="102"/>
        <v>536267.56</v>
      </c>
    </row>
    <row r="393" spans="3:45" ht="12.75">
      <c r="C393" s="14"/>
      <c r="AS393" s="34"/>
    </row>
    <row r="394" spans="1:45" ht="21">
      <c r="A394" s="18">
        <f>+A388+1</f>
        <v>54</v>
      </c>
      <c r="B394" s="19" t="s">
        <v>107</v>
      </c>
      <c r="C394" s="8" t="s">
        <v>140</v>
      </c>
      <c r="AS394" s="34"/>
    </row>
    <row r="395" spans="1:45" ht="12.75">
      <c r="A395" s="25"/>
      <c r="B395" s="25"/>
      <c r="C395" s="4" t="str">
        <f>C389</f>
        <v>Debt Reserve</v>
      </c>
      <c r="AG395" s="32">
        <v>604.17</v>
      </c>
      <c r="AH395" s="32">
        <v>604.17</v>
      </c>
      <c r="AI395" s="32">
        <v>604.17</v>
      </c>
      <c r="AJ395" s="32">
        <v>604.17</v>
      </c>
      <c r="AK395" s="32">
        <v>604.17</v>
      </c>
      <c r="AL395" s="32">
        <v>604.17</v>
      </c>
      <c r="AM395" s="32">
        <v>604.17</v>
      </c>
      <c r="AN395" s="32">
        <v>604.17</v>
      </c>
      <c r="AO395" s="32">
        <v>604.17</v>
      </c>
      <c r="AP395" s="32">
        <v>604.17</v>
      </c>
      <c r="AQ395" s="32">
        <v>604.17</v>
      </c>
      <c r="AR395" s="38">
        <v>595</v>
      </c>
      <c r="AS395" s="32">
        <f>SUM(AG395:AR395)</f>
        <v>7240.87</v>
      </c>
    </row>
    <row r="396" spans="3:45" ht="12.75">
      <c r="C396" s="4" t="str">
        <f>C390</f>
        <v>Treasury Fee</v>
      </c>
      <c r="AG396" s="42">
        <v>250</v>
      </c>
      <c r="AS396" s="32">
        <f>SUM(AG396:AR396)</f>
        <v>250</v>
      </c>
    </row>
    <row r="397" spans="3:45" ht="13.5" thickBot="1">
      <c r="C397" s="4" t="str">
        <f>C391</f>
        <v>Intercept</v>
      </c>
      <c r="AG397" s="32">
        <f>9166.67+32773.96+1582.5</f>
        <v>43523.13</v>
      </c>
      <c r="AH397" s="32">
        <f aca="true" t="shared" si="103" ref="AH397:AR397">9166.67+32773.96+1582.5</f>
        <v>43523.13</v>
      </c>
      <c r="AI397" s="32">
        <f t="shared" si="103"/>
        <v>43523.13</v>
      </c>
      <c r="AJ397" s="32">
        <f t="shared" si="103"/>
        <v>43523.13</v>
      </c>
      <c r="AK397" s="32">
        <f t="shared" si="103"/>
        <v>43523.13</v>
      </c>
      <c r="AL397" s="32">
        <f t="shared" si="103"/>
        <v>43523.13</v>
      </c>
      <c r="AM397" s="32">
        <f t="shared" si="103"/>
        <v>43523.13</v>
      </c>
      <c r="AN397" s="32">
        <f t="shared" si="103"/>
        <v>43523.13</v>
      </c>
      <c r="AO397" s="32">
        <f t="shared" si="103"/>
        <v>43523.13</v>
      </c>
      <c r="AP397" s="32">
        <f t="shared" si="103"/>
        <v>43523.13</v>
      </c>
      <c r="AQ397" s="32">
        <f t="shared" si="103"/>
        <v>43523.13</v>
      </c>
      <c r="AR397" s="38">
        <f t="shared" si="103"/>
        <v>43523.13</v>
      </c>
      <c r="AS397" s="32">
        <f>SUM(AG397:AR397)</f>
        <v>522277.56</v>
      </c>
    </row>
    <row r="398" spans="3:45" ht="13.5" thickBot="1">
      <c r="C398" s="6" t="s">
        <v>141</v>
      </c>
      <c r="AG398" s="33">
        <f aca="true" t="shared" si="104" ref="AG398:AS398">SUM(AG395:AG397)</f>
        <v>44377.299999999996</v>
      </c>
      <c r="AH398" s="33">
        <f t="shared" si="104"/>
        <v>44127.299999999996</v>
      </c>
      <c r="AI398" s="33">
        <f t="shared" si="104"/>
        <v>44127.299999999996</v>
      </c>
      <c r="AJ398" s="33">
        <f t="shared" si="104"/>
        <v>44127.299999999996</v>
      </c>
      <c r="AK398" s="33">
        <f t="shared" si="104"/>
        <v>44127.299999999996</v>
      </c>
      <c r="AL398" s="33">
        <f t="shared" si="104"/>
        <v>44127.299999999996</v>
      </c>
      <c r="AM398" s="33">
        <f t="shared" si="104"/>
        <v>44127.299999999996</v>
      </c>
      <c r="AN398" s="33">
        <f t="shared" si="104"/>
        <v>44127.299999999996</v>
      </c>
      <c r="AO398" s="33">
        <f t="shared" si="104"/>
        <v>44127.299999999996</v>
      </c>
      <c r="AP398" s="33">
        <f t="shared" si="104"/>
        <v>44127.299999999996</v>
      </c>
      <c r="AQ398" s="33">
        <f t="shared" si="104"/>
        <v>44127.299999999996</v>
      </c>
      <c r="AR398" s="39">
        <f t="shared" si="104"/>
        <v>44118.13</v>
      </c>
      <c r="AS398" s="44">
        <f t="shared" si="104"/>
        <v>529768.43</v>
      </c>
    </row>
    <row r="399" spans="3:45" ht="12.75">
      <c r="C399" s="14"/>
      <c r="AS399" s="34"/>
    </row>
    <row r="400" spans="1:45" ht="21">
      <c r="A400" s="18">
        <f>+A394+1</f>
        <v>55</v>
      </c>
      <c r="B400" s="26"/>
      <c r="C400" s="5" t="s">
        <v>143</v>
      </c>
      <c r="AS400" s="34"/>
    </row>
    <row r="401" spans="1:45" ht="12.75">
      <c r="A401" s="25"/>
      <c r="B401" s="25"/>
      <c r="C401" s="4" t="str">
        <f>C395</f>
        <v>Debt Reserve</v>
      </c>
      <c r="AG401" s="32">
        <v>542.5</v>
      </c>
      <c r="AH401" s="32">
        <v>542.5</v>
      </c>
      <c r="AI401" s="32">
        <v>542.5</v>
      </c>
      <c r="AJ401" s="32">
        <v>542.5</v>
      </c>
      <c r="AK401" s="32">
        <v>542.5</v>
      </c>
      <c r="AL401" s="32">
        <v>542.5</v>
      </c>
      <c r="AM401" s="32">
        <v>542.5</v>
      </c>
      <c r="AN401" s="32">
        <v>542.5</v>
      </c>
      <c r="AO401" s="32">
        <v>542.5</v>
      </c>
      <c r="AP401" s="32">
        <v>542.5</v>
      </c>
      <c r="AQ401" s="32">
        <v>542.5</v>
      </c>
      <c r="AR401" s="38">
        <v>542.5</v>
      </c>
      <c r="AS401" s="32">
        <f>SUM(AG401:AR401)</f>
        <v>6510</v>
      </c>
    </row>
    <row r="402" spans="3:45" ht="12.75">
      <c r="C402" s="4" t="str">
        <f>C396</f>
        <v>Treasury Fee</v>
      </c>
      <c r="AG402" s="42">
        <v>250</v>
      </c>
      <c r="AS402" s="32">
        <f>SUM(AG402:AR402)</f>
        <v>250</v>
      </c>
    </row>
    <row r="403" spans="3:45" ht="13.5" thickBot="1">
      <c r="C403" s="4" t="str">
        <f>C397</f>
        <v>Intercept</v>
      </c>
      <c r="AG403" s="32">
        <f aca="true" t="shared" si="105" ref="AG403:AQ403">8333.33+29725.52</f>
        <v>38058.85</v>
      </c>
      <c r="AH403" s="32">
        <f t="shared" si="105"/>
        <v>38058.85</v>
      </c>
      <c r="AI403" s="32">
        <f t="shared" si="105"/>
        <v>38058.85</v>
      </c>
      <c r="AJ403" s="32">
        <f t="shared" si="105"/>
        <v>38058.85</v>
      </c>
      <c r="AK403" s="32">
        <f t="shared" si="105"/>
        <v>38058.85</v>
      </c>
      <c r="AL403" s="32">
        <f t="shared" si="105"/>
        <v>38058.85</v>
      </c>
      <c r="AM403" s="32">
        <f t="shared" si="105"/>
        <v>38058.85</v>
      </c>
      <c r="AN403" s="32">
        <f t="shared" si="105"/>
        <v>38058.85</v>
      </c>
      <c r="AO403" s="32">
        <f t="shared" si="105"/>
        <v>38058.85</v>
      </c>
      <c r="AP403" s="32">
        <f t="shared" si="105"/>
        <v>38058.85</v>
      </c>
      <c r="AQ403" s="32">
        <f t="shared" si="105"/>
        <v>38058.85</v>
      </c>
      <c r="AR403" s="38">
        <f>8750+29558.86</f>
        <v>38308.86</v>
      </c>
      <c r="AS403" s="32">
        <f>SUM(AG403:AR403)</f>
        <v>456956.2099999999</v>
      </c>
    </row>
    <row r="404" spans="3:45" ht="13.5" thickBot="1">
      <c r="C404" s="6" t="s">
        <v>144</v>
      </c>
      <c r="AG404" s="33">
        <f aca="true" t="shared" si="106" ref="AG404:AS404">SUM(AG401:AG403)</f>
        <v>38851.35</v>
      </c>
      <c r="AH404" s="33">
        <f t="shared" si="106"/>
        <v>38601.35</v>
      </c>
      <c r="AI404" s="33">
        <f t="shared" si="106"/>
        <v>38601.35</v>
      </c>
      <c r="AJ404" s="33">
        <f t="shared" si="106"/>
        <v>38601.35</v>
      </c>
      <c r="AK404" s="33">
        <f t="shared" si="106"/>
        <v>38601.35</v>
      </c>
      <c r="AL404" s="33">
        <f t="shared" si="106"/>
        <v>38601.35</v>
      </c>
      <c r="AM404" s="33">
        <f t="shared" si="106"/>
        <v>38601.35</v>
      </c>
      <c r="AN404" s="33">
        <f t="shared" si="106"/>
        <v>38601.35</v>
      </c>
      <c r="AO404" s="33">
        <f t="shared" si="106"/>
        <v>38601.35</v>
      </c>
      <c r="AP404" s="33">
        <f t="shared" si="106"/>
        <v>38601.35</v>
      </c>
      <c r="AQ404" s="33">
        <f t="shared" si="106"/>
        <v>38601.35</v>
      </c>
      <c r="AR404" s="39">
        <f t="shared" si="106"/>
        <v>38851.36</v>
      </c>
      <c r="AS404" s="44">
        <f t="shared" si="106"/>
        <v>463716.2099999999</v>
      </c>
    </row>
    <row r="405" spans="3:45" ht="12.75">
      <c r="C405" s="14"/>
      <c r="AS405" s="34"/>
    </row>
    <row r="406" spans="1:45" ht="21">
      <c r="A406" s="18">
        <f>+A400+1</f>
        <v>56</v>
      </c>
      <c r="B406" s="26"/>
      <c r="C406" s="5" t="s">
        <v>147</v>
      </c>
      <c r="AS406" s="34"/>
    </row>
    <row r="407" spans="1:45" ht="12.75">
      <c r="A407" s="25"/>
      <c r="B407" s="25"/>
      <c r="C407" s="4" t="str">
        <f>C401</f>
        <v>Debt Reserve</v>
      </c>
      <c r="AG407" s="32">
        <v>202.92</v>
      </c>
      <c r="AH407" s="32">
        <v>202.92</v>
      </c>
      <c r="AI407" s="32">
        <v>202.92</v>
      </c>
      <c r="AJ407" s="32">
        <v>202.92</v>
      </c>
      <c r="AK407" s="32">
        <v>202.92</v>
      </c>
      <c r="AL407" s="32">
        <v>202.92</v>
      </c>
      <c r="AM407" s="32">
        <v>202.92</v>
      </c>
      <c r="AN407" s="32">
        <v>202.92</v>
      </c>
      <c r="AO407" s="32">
        <v>202.92</v>
      </c>
      <c r="AP407" s="32">
        <v>202.92</v>
      </c>
      <c r="AQ407" s="32">
        <v>202.92</v>
      </c>
      <c r="AR407" s="38">
        <v>202.92</v>
      </c>
      <c r="AS407" s="32">
        <f>SUM(AG407:AR407)</f>
        <v>2435.0400000000004</v>
      </c>
    </row>
    <row r="408" spans="3:45" ht="12.75">
      <c r="C408" s="4" t="str">
        <f>C402</f>
        <v>Treasury Fee</v>
      </c>
      <c r="AG408" s="42">
        <v>250</v>
      </c>
      <c r="AS408" s="32">
        <f>SUM(AG408:AR408)</f>
        <v>250</v>
      </c>
    </row>
    <row r="409" spans="3:45" ht="13.5" thickBot="1">
      <c r="C409" s="4" t="str">
        <f>C403</f>
        <v>Intercept</v>
      </c>
      <c r="AG409" s="32">
        <v>11304.17</v>
      </c>
      <c r="AH409" s="32">
        <v>11304.17</v>
      </c>
      <c r="AI409" s="32">
        <v>11304.17</v>
      </c>
      <c r="AJ409" s="32">
        <v>11304.17</v>
      </c>
      <c r="AK409" s="32">
        <v>11304.17</v>
      </c>
      <c r="AL409" s="32">
        <v>11304.17</v>
      </c>
      <c r="AM409" s="32">
        <v>11304.17</v>
      </c>
      <c r="AN409" s="32">
        <v>11304.17</v>
      </c>
      <c r="AO409" s="32">
        <v>11304.17</v>
      </c>
      <c r="AP409" s="32">
        <v>11304.17</v>
      </c>
      <c r="AQ409" s="32">
        <v>11304.17</v>
      </c>
      <c r="AR409" s="38">
        <v>11304.17</v>
      </c>
      <c r="AS409" s="32">
        <f>SUM(AG409:AR409)</f>
        <v>135650.04</v>
      </c>
    </row>
    <row r="410" spans="3:45" ht="13.5" thickBot="1">
      <c r="C410" s="6" t="s">
        <v>146</v>
      </c>
      <c r="AG410" s="33">
        <f aca="true" t="shared" si="107" ref="AG410:AS410">SUM(AG407:AG409)</f>
        <v>11757.09</v>
      </c>
      <c r="AH410" s="33">
        <f t="shared" si="107"/>
        <v>11507.09</v>
      </c>
      <c r="AI410" s="33">
        <f t="shared" si="107"/>
        <v>11507.09</v>
      </c>
      <c r="AJ410" s="33">
        <f t="shared" si="107"/>
        <v>11507.09</v>
      </c>
      <c r="AK410" s="33">
        <f t="shared" si="107"/>
        <v>11507.09</v>
      </c>
      <c r="AL410" s="33">
        <f t="shared" si="107"/>
        <v>11507.09</v>
      </c>
      <c r="AM410" s="33">
        <f t="shared" si="107"/>
        <v>11507.09</v>
      </c>
      <c r="AN410" s="33">
        <f t="shared" si="107"/>
        <v>11507.09</v>
      </c>
      <c r="AO410" s="33">
        <f t="shared" si="107"/>
        <v>11507.09</v>
      </c>
      <c r="AP410" s="33">
        <f t="shared" si="107"/>
        <v>11507.09</v>
      </c>
      <c r="AQ410" s="33">
        <f t="shared" si="107"/>
        <v>11507.09</v>
      </c>
      <c r="AR410" s="39">
        <f t="shared" si="107"/>
        <v>11507.09</v>
      </c>
      <c r="AS410" s="44">
        <f t="shared" si="107"/>
        <v>138335.08000000002</v>
      </c>
    </row>
    <row r="411" spans="3:45" ht="12.75">
      <c r="C411" s="14"/>
      <c r="AS411" s="34"/>
    </row>
    <row r="412" spans="1:45" ht="21">
      <c r="A412" s="18">
        <f>+A406+1</f>
        <v>57</v>
      </c>
      <c r="B412" s="26"/>
      <c r="C412" s="5" t="s">
        <v>148</v>
      </c>
      <c r="AS412" s="34"/>
    </row>
    <row r="413" spans="1:45" ht="12.75">
      <c r="A413" s="25"/>
      <c r="B413" s="25"/>
      <c r="C413" s="4" t="str">
        <f>C407</f>
        <v>Debt Reserve</v>
      </c>
      <c r="AG413" s="32">
        <v>403.18</v>
      </c>
      <c r="AH413" s="32">
        <v>403.18</v>
      </c>
      <c r="AI413" s="32">
        <v>403.18</v>
      </c>
      <c r="AJ413" s="32">
        <v>403.18</v>
      </c>
      <c r="AK413" s="32">
        <v>369.58</v>
      </c>
      <c r="AL413" s="32">
        <v>369.58</v>
      </c>
      <c r="AM413" s="32">
        <v>369.58</v>
      </c>
      <c r="AN413" s="32">
        <v>369.58</v>
      </c>
      <c r="AO413" s="32">
        <v>369.58</v>
      </c>
      <c r="AP413" s="32">
        <v>369.58</v>
      </c>
      <c r="AQ413" s="32">
        <v>369.58</v>
      </c>
      <c r="AR413" s="38">
        <v>369.58</v>
      </c>
      <c r="AS413" s="32">
        <f>SUM(AG413:AR413)</f>
        <v>4569.36</v>
      </c>
    </row>
    <row r="414" spans="3:45" ht="12.75">
      <c r="C414" s="4" t="str">
        <f>C408</f>
        <v>Treasury Fee</v>
      </c>
      <c r="AG414" s="42">
        <v>250</v>
      </c>
      <c r="AS414" s="32">
        <f>SUM(AG414:AR414)</f>
        <v>250</v>
      </c>
    </row>
    <row r="415" spans="3:45" ht="13.5" thickBot="1">
      <c r="C415" s="4" t="str">
        <f>C409</f>
        <v>Intercept</v>
      </c>
      <c r="AG415" s="32">
        <v>0</v>
      </c>
      <c r="AH415" s="32">
        <v>0</v>
      </c>
      <c r="AI415" s="32">
        <v>0</v>
      </c>
      <c r="AJ415" s="42">
        <f>8750+55930.21</f>
        <v>64680.21</v>
      </c>
      <c r="AK415" s="42">
        <f aca="true" t="shared" si="108" ref="AK415:AR415">8750+55930.21</f>
        <v>64680.21</v>
      </c>
      <c r="AL415" s="42">
        <f t="shared" si="108"/>
        <v>64680.21</v>
      </c>
      <c r="AM415" s="42">
        <f t="shared" si="108"/>
        <v>64680.21</v>
      </c>
      <c r="AN415" s="42">
        <f t="shared" si="108"/>
        <v>64680.21</v>
      </c>
      <c r="AO415" s="42">
        <f t="shared" si="108"/>
        <v>64680.21</v>
      </c>
      <c r="AP415" s="42">
        <f t="shared" si="108"/>
        <v>64680.21</v>
      </c>
      <c r="AQ415" s="42">
        <f t="shared" si="108"/>
        <v>64680.21</v>
      </c>
      <c r="AR415" s="46">
        <f t="shared" si="108"/>
        <v>64680.21</v>
      </c>
      <c r="AS415" s="32">
        <f>SUM(AG415:AR415)</f>
        <v>582121.89</v>
      </c>
    </row>
    <row r="416" spans="3:45" ht="13.5" thickBot="1">
      <c r="C416" s="6" t="s">
        <v>149</v>
      </c>
      <c r="AG416" s="33">
        <f aca="true" t="shared" si="109" ref="AG416:AS416">SUM(AG413:AG415)</f>
        <v>653.1800000000001</v>
      </c>
      <c r="AH416" s="33">
        <f t="shared" si="109"/>
        <v>403.18</v>
      </c>
      <c r="AI416" s="33">
        <f t="shared" si="109"/>
        <v>403.18</v>
      </c>
      <c r="AJ416" s="33">
        <f t="shared" si="109"/>
        <v>65083.39</v>
      </c>
      <c r="AK416" s="33">
        <f t="shared" si="109"/>
        <v>65049.79</v>
      </c>
      <c r="AL416" s="33">
        <f t="shared" si="109"/>
        <v>65049.79</v>
      </c>
      <c r="AM416" s="33">
        <f t="shared" si="109"/>
        <v>65049.79</v>
      </c>
      <c r="AN416" s="33">
        <f t="shared" si="109"/>
        <v>65049.79</v>
      </c>
      <c r="AO416" s="33">
        <f t="shared" si="109"/>
        <v>65049.79</v>
      </c>
      <c r="AP416" s="33">
        <f t="shared" si="109"/>
        <v>65049.79</v>
      </c>
      <c r="AQ416" s="33">
        <f t="shared" si="109"/>
        <v>65049.79</v>
      </c>
      <c r="AR416" s="39">
        <f t="shared" si="109"/>
        <v>65049.79</v>
      </c>
      <c r="AS416" s="44">
        <f t="shared" si="109"/>
        <v>586941.25</v>
      </c>
    </row>
    <row r="417" spans="3:45" ht="12.75">
      <c r="C417" s="14"/>
      <c r="AS417" s="34"/>
    </row>
    <row r="418" spans="1:45" ht="21">
      <c r="A418" s="18">
        <f>+A412+1</f>
        <v>58</v>
      </c>
      <c r="B418" s="19" t="s">
        <v>107</v>
      </c>
      <c r="C418" s="8" t="s">
        <v>150</v>
      </c>
      <c r="AS418" s="34"/>
    </row>
    <row r="419" spans="1:45" ht="12.75">
      <c r="A419" s="25"/>
      <c r="B419" s="25"/>
      <c r="C419" s="4" t="str">
        <f>C413</f>
        <v>Debt Reserve</v>
      </c>
      <c r="AG419" s="32">
        <v>0</v>
      </c>
      <c r="AH419" s="32">
        <v>0</v>
      </c>
      <c r="AI419" s="32">
        <v>0</v>
      </c>
      <c r="AJ419" s="32">
        <v>0</v>
      </c>
      <c r="AK419" s="32">
        <v>0</v>
      </c>
      <c r="AL419" s="32">
        <v>0</v>
      </c>
      <c r="AM419" s="32">
        <v>0</v>
      </c>
      <c r="AN419" s="32">
        <v>0</v>
      </c>
      <c r="AO419" s="32">
        <v>0</v>
      </c>
      <c r="AP419" s="32">
        <v>0</v>
      </c>
      <c r="AQ419" s="32">
        <v>0</v>
      </c>
      <c r="AR419" s="38">
        <v>0</v>
      </c>
      <c r="AS419" s="32">
        <f>SUM(AG419:AR419)</f>
        <v>0</v>
      </c>
    </row>
    <row r="420" spans="3:45" ht="12.75">
      <c r="C420" s="4" t="str">
        <f>C414</f>
        <v>Treasury Fee</v>
      </c>
      <c r="AG420" s="42">
        <v>250</v>
      </c>
      <c r="AS420" s="32">
        <f>SUM(AG420:AR420)</f>
        <v>250</v>
      </c>
    </row>
    <row r="421" spans="3:45" ht="13.5" thickBot="1">
      <c r="C421" s="4" t="str">
        <f>C415</f>
        <v>Intercept</v>
      </c>
      <c r="AG421" s="32">
        <v>31340.63</v>
      </c>
      <c r="AH421" s="32">
        <v>31340.63</v>
      </c>
      <c r="AI421" s="32">
        <v>31340.63</v>
      </c>
      <c r="AJ421" s="32">
        <v>31340.63</v>
      </c>
      <c r="AK421" s="32">
        <v>31340.63</v>
      </c>
      <c r="AL421" s="32">
        <v>31340.63</v>
      </c>
      <c r="AM421" s="32">
        <v>31340.63</v>
      </c>
      <c r="AN421" s="32">
        <v>31340.63</v>
      </c>
      <c r="AO421" s="32">
        <v>31340.63</v>
      </c>
      <c r="AP421" s="32">
        <v>31340.63</v>
      </c>
      <c r="AQ421" s="32">
        <v>31340.63</v>
      </c>
      <c r="AR421" s="38">
        <v>38840.63</v>
      </c>
      <c r="AS421" s="32">
        <f>SUM(AG421:AR421)</f>
        <v>383587.56</v>
      </c>
    </row>
    <row r="422" spans="3:45" ht="13.5" thickBot="1">
      <c r="C422" s="6" t="s">
        <v>151</v>
      </c>
      <c r="AG422" s="33">
        <f aca="true" t="shared" si="110" ref="AG422:AS422">SUM(AG419:AG421)</f>
        <v>31590.63</v>
      </c>
      <c r="AH422" s="33">
        <f t="shared" si="110"/>
        <v>31340.63</v>
      </c>
      <c r="AI422" s="33">
        <f t="shared" si="110"/>
        <v>31340.63</v>
      </c>
      <c r="AJ422" s="33">
        <f t="shared" si="110"/>
        <v>31340.63</v>
      </c>
      <c r="AK422" s="33">
        <f t="shared" si="110"/>
        <v>31340.63</v>
      </c>
      <c r="AL422" s="33">
        <f t="shared" si="110"/>
        <v>31340.63</v>
      </c>
      <c r="AM422" s="33">
        <f t="shared" si="110"/>
        <v>31340.63</v>
      </c>
      <c r="AN422" s="33">
        <f t="shared" si="110"/>
        <v>31340.63</v>
      </c>
      <c r="AO422" s="33">
        <f t="shared" si="110"/>
        <v>31340.63</v>
      </c>
      <c r="AP422" s="33">
        <f t="shared" si="110"/>
        <v>31340.63</v>
      </c>
      <c r="AQ422" s="33">
        <f t="shared" si="110"/>
        <v>31340.63</v>
      </c>
      <c r="AR422" s="39">
        <f t="shared" si="110"/>
        <v>38840.63</v>
      </c>
      <c r="AS422" s="44">
        <f t="shared" si="110"/>
        <v>383837.56</v>
      </c>
    </row>
    <row r="423" spans="3:45" ht="12.75">
      <c r="C423" s="14"/>
      <c r="AS423" s="34"/>
    </row>
    <row r="424" spans="1:45" ht="21">
      <c r="A424" s="18">
        <f>+A418+1</f>
        <v>59</v>
      </c>
      <c r="B424" s="26"/>
      <c r="C424" s="5" t="s">
        <v>152</v>
      </c>
      <c r="AS424" s="34"/>
    </row>
    <row r="425" spans="1:45" ht="12.75">
      <c r="A425" s="25"/>
      <c r="B425" s="25"/>
      <c r="C425" s="4" t="str">
        <f>C419</f>
        <v>Debt Reserve</v>
      </c>
      <c r="AG425" s="32">
        <v>0</v>
      </c>
      <c r="AH425" s="32">
        <v>0</v>
      </c>
      <c r="AI425" s="32">
        <v>0</v>
      </c>
      <c r="AJ425" s="32">
        <v>0</v>
      </c>
      <c r="AK425" s="32">
        <v>0</v>
      </c>
      <c r="AL425" s="32">
        <v>0</v>
      </c>
      <c r="AM425" s="32">
        <v>0</v>
      </c>
      <c r="AN425" s="32">
        <v>0</v>
      </c>
      <c r="AO425" s="32">
        <v>0</v>
      </c>
      <c r="AP425" s="32">
        <v>0</v>
      </c>
      <c r="AQ425" s="32">
        <v>0</v>
      </c>
      <c r="AR425" s="38">
        <v>0</v>
      </c>
      <c r="AS425" s="32">
        <f>SUM(AG425:AR425)</f>
        <v>0</v>
      </c>
    </row>
    <row r="426" spans="3:45" ht="12.75">
      <c r="C426" s="4" t="str">
        <f>C420</f>
        <v>Treasury Fee</v>
      </c>
      <c r="AG426" s="42">
        <v>250</v>
      </c>
      <c r="AS426" s="32">
        <f>SUM(AG426:AR426)</f>
        <v>250</v>
      </c>
    </row>
    <row r="427" spans="3:45" ht="13.5" thickBot="1">
      <c r="C427" s="4" t="str">
        <f>C421</f>
        <v>Intercept</v>
      </c>
      <c r="AG427" s="32">
        <v>0</v>
      </c>
      <c r="AH427" s="32">
        <v>0</v>
      </c>
      <c r="AI427" s="32">
        <v>0</v>
      </c>
      <c r="AJ427" s="32">
        <v>0</v>
      </c>
      <c r="AK427" s="32">
        <v>50075.53</v>
      </c>
      <c r="AL427" s="32">
        <f>7500+50075.52</f>
        <v>57575.52</v>
      </c>
      <c r="AM427" s="32">
        <f aca="true" t="shared" si="111" ref="AM427:AR427">7500+50075.52</f>
        <v>57575.52</v>
      </c>
      <c r="AN427" s="32">
        <f t="shared" si="111"/>
        <v>57575.52</v>
      </c>
      <c r="AO427" s="32">
        <f t="shared" si="111"/>
        <v>57575.52</v>
      </c>
      <c r="AP427" s="32">
        <f t="shared" si="111"/>
        <v>57575.52</v>
      </c>
      <c r="AQ427" s="32">
        <f t="shared" si="111"/>
        <v>57575.52</v>
      </c>
      <c r="AR427" s="38">
        <f t="shared" si="111"/>
        <v>57575.52</v>
      </c>
      <c r="AS427" s="32">
        <f>SUM(AG427:AR427)</f>
        <v>453104.17000000004</v>
      </c>
    </row>
    <row r="428" spans="3:45" ht="13.5" thickBot="1">
      <c r="C428" s="6" t="s">
        <v>153</v>
      </c>
      <c r="AG428" s="33">
        <f aca="true" t="shared" si="112" ref="AG428:AS428">SUM(AG425:AG427)</f>
        <v>250</v>
      </c>
      <c r="AH428" s="33">
        <f t="shared" si="112"/>
        <v>0</v>
      </c>
      <c r="AI428" s="33">
        <f t="shared" si="112"/>
        <v>0</v>
      </c>
      <c r="AJ428" s="33">
        <f t="shared" si="112"/>
        <v>0</v>
      </c>
      <c r="AK428" s="33">
        <f t="shared" si="112"/>
        <v>50075.53</v>
      </c>
      <c r="AL428" s="33">
        <f t="shared" si="112"/>
        <v>57575.52</v>
      </c>
      <c r="AM428" s="33">
        <f t="shared" si="112"/>
        <v>57575.52</v>
      </c>
      <c r="AN428" s="33">
        <f t="shared" si="112"/>
        <v>57575.52</v>
      </c>
      <c r="AO428" s="33">
        <f t="shared" si="112"/>
        <v>57575.52</v>
      </c>
      <c r="AP428" s="33">
        <f t="shared" si="112"/>
        <v>57575.52</v>
      </c>
      <c r="AQ428" s="33">
        <f t="shared" si="112"/>
        <v>57575.52</v>
      </c>
      <c r="AR428" s="39">
        <f t="shared" si="112"/>
        <v>57575.52</v>
      </c>
      <c r="AS428" s="44">
        <f t="shared" si="112"/>
        <v>453354.17000000004</v>
      </c>
    </row>
    <row r="429" spans="3:45" ht="12.75">
      <c r="C429" s="14"/>
      <c r="AS429" s="34"/>
    </row>
    <row r="430" spans="1:45" ht="21">
      <c r="A430" s="18">
        <f>+A424+1</f>
        <v>60</v>
      </c>
      <c r="B430" s="26"/>
      <c r="C430" s="5" t="s">
        <v>154</v>
      </c>
      <c r="AS430" s="34"/>
    </row>
    <row r="431" spans="1:45" ht="12.75">
      <c r="A431" s="25"/>
      <c r="B431" s="25"/>
      <c r="C431" s="4" t="str">
        <f>C425</f>
        <v>Debt Reserve</v>
      </c>
      <c r="AG431" s="32">
        <v>0</v>
      </c>
      <c r="AH431" s="32">
        <v>0</v>
      </c>
      <c r="AI431" s="32">
        <v>0</v>
      </c>
      <c r="AJ431" s="32">
        <v>0</v>
      </c>
      <c r="AK431" s="32">
        <v>0</v>
      </c>
      <c r="AL431" s="32">
        <v>0</v>
      </c>
      <c r="AM431" s="32">
        <v>0</v>
      </c>
      <c r="AN431" s="32">
        <v>0</v>
      </c>
      <c r="AO431" s="32">
        <v>0</v>
      </c>
      <c r="AP431" s="32">
        <v>0</v>
      </c>
      <c r="AQ431" s="32">
        <v>0</v>
      </c>
      <c r="AR431" s="38">
        <v>0</v>
      </c>
      <c r="AS431" s="32">
        <f>SUM(AG431:AR431)</f>
        <v>0</v>
      </c>
    </row>
    <row r="432" spans="3:45" ht="12.75">
      <c r="C432" s="4" t="str">
        <f>C426</f>
        <v>Treasury Fee</v>
      </c>
      <c r="AG432" s="42">
        <v>250</v>
      </c>
      <c r="AS432" s="32">
        <f>SUM(AG432:AR432)</f>
        <v>250</v>
      </c>
    </row>
    <row r="433" spans="3:45" ht="13.5" thickBot="1">
      <c r="C433" s="4" t="str">
        <f>C427</f>
        <v>Intercept</v>
      </c>
      <c r="AG433" s="32">
        <v>0</v>
      </c>
      <c r="AH433" s="32">
        <v>0</v>
      </c>
      <c r="AI433" s="32">
        <v>0</v>
      </c>
      <c r="AJ433" s="32">
        <v>0</v>
      </c>
      <c r="AK433" s="32">
        <v>0</v>
      </c>
      <c r="AL433" s="32">
        <v>0</v>
      </c>
      <c r="AM433" s="32">
        <f>6363.64+46846.03</f>
        <v>53209.67</v>
      </c>
      <c r="AN433" s="32">
        <f>6363.64+46846.03</f>
        <v>53209.67</v>
      </c>
      <c r="AO433" s="32">
        <f>6363.64+46846.03</f>
        <v>53209.67</v>
      </c>
      <c r="AP433" s="32">
        <f>6363.64+46846.03</f>
        <v>53209.67</v>
      </c>
      <c r="AQ433" s="32">
        <f>6363.64+46846.03</f>
        <v>53209.67</v>
      </c>
      <c r="AR433" s="38">
        <f>6363.64+52439.58</f>
        <v>58803.22</v>
      </c>
      <c r="AS433" s="32">
        <f>SUM(AG433:AR433)</f>
        <v>324851.56999999995</v>
      </c>
    </row>
    <row r="434" spans="3:45" ht="13.5" thickBot="1">
      <c r="C434" s="6" t="s">
        <v>155</v>
      </c>
      <c r="AG434" s="33">
        <f aca="true" t="shared" si="113" ref="AG434:AS434">SUM(AG431:AG433)</f>
        <v>250</v>
      </c>
      <c r="AH434" s="33">
        <f t="shared" si="113"/>
        <v>0</v>
      </c>
      <c r="AI434" s="33">
        <f t="shared" si="113"/>
        <v>0</v>
      </c>
      <c r="AJ434" s="33">
        <f t="shared" si="113"/>
        <v>0</v>
      </c>
      <c r="AK434" s="33">
        <f t="shared" si="113"/>
        <v>0</v>
      </c>
      <c r="AL434" s="33">
        <f t="shared" si="113"/>
        <v>0</v>
      </c>
      <c r="AM434" s="33">
        <f t="shared" si="113"/>
        <v>53209.67</v>
      </c>
      <c r="AN434" s="33">
        <f t="shared" si="113"/>
        <v>53209.67</v>
      </c>
      <c r="AO434" s="33">
        <f t="shared" si="113"/>
        <v>53209.67</v>
      </c>
      <c r="AP434" s="33">
        <f t="shared" si="113"/>
        <v>53209.67</v>
      </c>
      <c r="AQ434" s="33">
        <f t="shared" si="113"/>
        <v>53209.67</v>
      </c>
      <c r="AR434" s="39">
        <f t="shared" si="113"/>
        <v>58803.22</v>
      </c>
      <c r="AS434" s="44">
        <f t="shared" si="113"/>
        <v>325101.56999999995</v>
      </c>
    </row>
    <row r="435" spans="3:45" ht="12.75">
      <c r="C435" s="14"/>
      <c r="AS435" s="34"/>
    </row>
    <row r="436" spans="1:45" ht="21">
      <c r="A436" s="18">
        <f>+A430+1</f>
        <v>61</v>
      </c>
      <c r="B436" s="26"/>
      <c r="C436" s="5" t="s">
        <v>156</v>
      </c>
      <c r="AS436" s="34"/>
    </row>
    <row r="437" spans="1:45" ht="12.75">
      <c r="A437" s="25"/>
      <c r="B437" s="25"/>
      <c r="C437" s="4" t="str">
        <f>C431</f>
        <v>Debt Reserve</v>
      </c>
      <c r="AG437" s="32">
        <v>423.75</v>
      </c>
      <c r="AH437" s="32">
        <v>423.75</v>
      </c>
      <c r="AI437" s="32">
        <v>423.75</v>
      </c>
      <c r="AJ437" s="32">
        <v>423.75</v>
      </c>
      <c r="AK437" s="32">
        <v>423.75</v>
      </c>
      <c r="AL437" s="32">
        <v>423.75</v>
      </c>
      <c r="AM437" s="32">
        <v>423.75</v>
      </c>
      <c r="AN437" s="32">
        <v>423.75</v>
      </c>
      <c r="AO437" s="32">
        <v>423.75</v>
      </c>
      <c r="AP437" s="32">
        <v>423.75</v>
      </c>
      <c r="AQ437" s="32">
        <v>423.75</v>
      </c>
      <c r="AR437" s="38">
        <v>423.75</v>
      </c>
      <c r="AS437" s="32">
        <f>SUM(AG437:AR437)</f>
        <v>5085</v>
      </c>
    </row>
    <row r="438" spans="3:45" ht="12.75">
      <c r="C438" s="4" t="str">
        <f>C432</f>
        <v>Treasury Fee</v>
      </c>
      <c r="AG438" s="42">
        <v>250</v>
      </c>
      <c r="AS438" s="32">
        <f>SUM(AG438:AR438)</f>
        <v>250</v>
      </c>
    </row>
    <row r="439" spans="3:45" ht="13.5" thickBot="1">
      <c r="C439" s="4" t="str">
        <f>C433</f>
        <v>Intercept</v>
      </c>
      <c r="AG439" s="32">
        <v>29331.88</v>
      </c>
      <c r="AH439" s="32">
        <v>29331.88</v>
      </c>
      <c r="AI439" s="32">
        <f>29331.88-27331.88</f>
        <v>2000</v>
      </c>
      <c r="AJ439" s="32">
        <f>29331.85-27331.85</f>
        <v>2000</v>
      </c>
      <c r="AK439" s="32">
        <f>7500+29331.88-5000-27331.88</f>
        <v>4500.000000000004</v>
      </c>
      <c r="AL439" s="32">
        <f>7500+29331.88-5000-27331.88</f>
        <v>4500.000000000004</v>
      </c>
      <c r="AM439" s="32">
        <f>7500+29331.88-5000-27331.88</f>
        <v>4500.000000000004</v>
      </c>
      <c r="AN439" s="32">
        <f>7500+29331.88-5000-27331.88</f>
        <v>4500.000000000004</v>
      </c>
      <c r="AO439" s="32">
        <f>7500+29331.88-5000-27331.88</f>
        <v>4500.000000000004</v>
      </c>
      <c r="AP439" s="32">
        <f>7500+29331.85-5000-27331.85</f>
        <v>4500</v>
      </c>
      <c r="AQ439" s="32">
        <f>7500+29331.88-5000-27331.88</f>
        <v>4500.000000000004</v>
      </c>
      <c r="AR439" s="38">
        <f>7500+29331.88-7756.9</f>
        <v>29074.980000000003</v>
      </c>
      <c r="AS439" s="32">
        <f>SUM(AG439:AR439)</f>
        <v>123238.74000000002</v>
      </c>
    </row>
    <row r="440" spans="3:45" ht="13.5" thickBot="1">
      <c r="C440" s="6" t="s">
        <v>116</v>
      </c>
      <c r="AG440" s="33">
        <f aca="true" t="shared" si="114" ref="AG440:AS440">SUM(AG437:AG439)</f>
        <v>30005.63</v>
      </c>
      <c r="AH440" s="33">
        <f t="shared" si="114"/>
        <v>29755.63</v>
      </c>
      <c r="AI440" s="33">
        <f t="shared" si="114"/>
        <v>2423.75</v>
      </c>
      <c r="AJ440" s="33">
        <f t="shared" si="114"/>
        <v>2423.75</v>
      </c>
      <c r="AK440" s="33">
        <f t="shared" si="114"/>
        <v>4923.750000000004</v>
      </c>
      <c r="AL440" s="33">
        <f t="shared" si="114"/>
        <v>4923.750000000004</v>
      </c>
      <c r="AM440" s="33">
        <f t="shared" si="114"/>
        <v>4923.750000000004</v>
      </c>
      <c r="AN440" s="33">
        <f t="shared" si="114"/>
        <v>4923.750000000004</v>
      </c>
      <c r="AO440" s="33">
        <f t="shared" si="114"/>
        <v>4923.750000000004</v>
      </c>
      <c r="AP440" s="33">
        <f t="shared" si="114"/>
        <v>4923.75</v>
      </c>
      <c r="AQ440" s="33">
        <f t="shared" si="114"/>
        <v>4923.750000000004</v>
      </c>
      <c r="AR440" s="39">
        <f t="shared" si="114"/>
        <v>29498.730000000003</v>
      </c>
      <c r="AS440" s="44">
        <f t="shared" si="114"/>
        <v>128573.74000000002</v>
      </c>
    </row>
    <row r="441" spans="3:45" ht="12.75">
      <c r="C441" s="14"/>
      <c r="AS441" s="34"/>
    </row>
    <row r="442" spans="1:45" ht="21">
      <c r="A442" s="18">
        <f>+A436+1</f>
        <v>62</v>
      </c>
      <c r="B442" s="26"/>
      <c r="C442" s="5" t="s">
        <v>157</v>
      </c>
      <c r="AS442" s="34"/>
    </row>
    <row r="443" spans="1:45" ht="12.75">
      <c r="A443" s="25"/>
      <c r="B443" s="25"/>
      <c r="C443" s="4" t="str">
        <f>C437</f>
        <v>Debt Reserve</v>
      </c>
      <c r="AG443" s="32">
        <v>228.64</v>
      </c>
      <c r="AH443" s="32">
        <v>228.64</v>
      </c>
      <c r="AI443" s="32">
        <v>228.64</v>
      </c>
      <c r="AJ443" s="32">
        <v>228.64</v>
      </c>
      <c r="AK443" s="32">
        <v>228.64</v>
      </c>
      <c r="AL443" s="32">
        <v>228.64</v>
      </c>
      <c r="AM443" s="32">
        <v>228.64</v>
      </c>
      <c r="AN443" s="32">
        <v>228.64</v>
      </c>
      <c r="AO443" s="32">
        <v>228.64</v>
      </c>
      <c r="AP443" s="32">
        <v>209.58</v>
      </c>
      <c r="AQ443" s="32">
        <v>209.58</v>
      </c>
      <c r="AR443" s="38">
        <v>209.58</v>
      </c>
      <c r="AS443" s="32">
        <f>SUM(AG443:AR443)</f>
        <v>2686.499999999999</v>
      </c>
    </row>
    <row r="444" spans="3:45" ht="12.75">
      <c r="C444" s="4" t="str">
        <f>C438</f>
        <v>Treasury Fee</v>
      </c>
      <c r="AG444" s="42">
        <v>250</v>
      </c>
      <c r="AS444" s="32">
        <f>SUM(AG444:AR444)</f>
        <v>250</v>
      </c>
    </row>
    <row r="445" spans="3:45" ht="13.5" thickBot="1">
      <c r="C445" s="4" t="str">
        <f>C439</f>
        <v>Intercept</v>
      </c>
      <c r="AG445" s="32">
        <f>3500+36136.58</f>
        <v>39636.58</v>
      </c>
      <c r="AH445" s="32">
        <f>3500+36136.58</f>
        <v>39636.58</v>
      </c>
      <c r="AI445" s="32">
        <f aca="true" t="shared" si="115" ref="AI445:AN445">3500+27620.31</f>
        <v>31120.31</v>
      </c>
      <c r="AJ445" s="32">
        <f t="shared" si="115"/>
        <v>31120.31</v>
      </c>
      <c r="AK445" s="32">
        <f t="shared" si="115"/>
        <v>31120.31</v>
      </c>
      <c r="AL445" s="32">
        <f t="shared" si="115"/>
        <v>31120.31</v>
      </c>
      <c r="AM445" s="32">
        <f t="shared" si="115"/>
        <v>31120.31</v>
      </c>
      <c r="AN445" s="32">
        <f t="shared" si="115"/>
        <v>31120.31</v>
      </c>
      <c r="AO445" s="32">
        <f>3333.33+27401.56</f>
        <v>30734.89</v>
      </c>
      <c r="AP445" s="32">
        <f>3333.33+27401.56</f>
        <v>30734.89</v>
      </c>
      <c r="AQ445" s="32">
        <f>3333.33+27401.56</f>
        <v>30734.89</v>
      </c>
      <c r="AR445" s="38">
        <f>3333.33+27401.56</f>
        <v>30734.89</v>
      </c>
      <c r="AS445" s="32">
        <f>SUM(AG445:AR445)</f>
        <v>388934.5800000001</v>
      </c>
    </row>
    <row r="446" spans="3:45" ht="13.5" thickBot="1">
      <c r="C446" s="6" t="s">
        <v>127</v>
      </c>
      <c r="AG446" s="33">
        <f aca="true" t="shared" si="116" ref="AG446:AS446">SUM(AG443:AG445)</f>
        <v>40115.22</v>
      </c>
      <c r="AH446" s="33">
        <f t="shared" si="116"/>
        <v>39865.22</v>
      </c>
      <c r="AI446" s="33">
        <f t="shared" si="116"/>
        <v>31348.95</v>
      </c>
      <c r="AJ446" s="33">
        <f t="shared" si="116"/>
        <v>31348.95</v>
      </c>
      <c r="AK446" s="33">
        <f t="shared" si="116"/>
        <v>31348.95</v>
      </c>
      <c r="AL446" s="33">
        <f t="shared" si="116"/>
        <v>31348.95</v>
      </c>
      <c r="AM446" s="33">
        <f t="shared" si="116"/>
        <v>31348.95</v>
      </c>
      <c r="AN446" s="33">
        <f t="shared" si="116"/>
        <v>31348.95</v>
      </c>
      <c r="AO446" s="33">
        <f t="shared" si="116"/>
        <v>30963.53</v>
      </c>
      <c r="AP446" s="33">
        <f t="shared" si="116"/>
        <v>30944.47</v>
      </c>
      <c r="AQ446" s="33">
        <f t="shared" si="116"/>
        <v>30944.47</v>
      </c>
      <c r="AR446" s="39">
        <f t="shared" si="116"/>
        <v>30944.47</v>
      </c>
      <c r="AS446" s="44">
        <f t="shared" si="116"/>
        <v>391871.0800000001</v>
      </c>
    </row>
    <row r="447" spans="3:45" ht="12.75">
      <c r="C447" s="14"/>
      <c r="AS447" s="34"/>
    </row>
    <row r="448" spans="1:45" ht="21">
      <c r="A448" s="18">
        <f>+A442+1</f>
        <v>63</v>
      </c>
      <c r="B448" s="26"/>
      <c r="C448" s="5" t="s">
        <v>159</v>
      </c>
      <c r="AS448" s="34"/>
    </row>
    <row r="449" spans="1:45" ht="12.75">
      <c r="A449" s="25"/>
      <c r="B449" s="25"/>
      <c r="C449" s="4" t="str">
        <f>C443</f>
        <v>Debt Reserve</v>
      </c>
      <c r="AG449" s="32">
        <v>0</v>
      </c>
      <c r="AH449" s="32">
        <v>0</v>
      </c>
      <c r="AI449" s="32">
        <v>0</v>
      </c>
      <c r="AJ449" s="32">
        <v>0</v>
      </c>
      <c r="AK449" s="32">
        <v>0</v>
      </c>
      <c r="AL449" s="32">
        <v>0</v>
      </c>
      <c r="AM449" s="32">
        <v>0</v>
      </c>
      <c r="AN449" s="32">
        <v>0</v>
      </c>
      <c r="AO449" s="32">
        <v>0</v>
      </c>
      <c r="AP449" s="32">
        <v>0</v>
      </c>
      <c r="AQ449" s="32">
        <v>0</v>
      </c>
      <c r="AR449" s="38">
        <v>0</v>
      </c>
      <c r="AS449" s="32">
        <f>SUM(AG449:AR449)</f>
        <v>0</v>
      </c>
    </row>
    <row r="450" spans="3:45" ht="12.75">
      <c r="C450" s="4" t="str">
        <f>C444</f>
        <v>Treasury Fee</v>
      </c>
      <c r="AG450" s="42"/>
      <c r="AN450">
        <v>104.17</v>
      </c>
      <c r="AS450" s="32">
        <f>SUM(AG450:AR450)</f>
        <v>104.17</v>
      </c>
    </row>
    <row r="451" spans="3:45" ht="13.5" thickBot="1">
      <c r="C451" s="4" t="str">
        <f>C445</f>
        <v>Intercept</v>
      </c>
      <c r="AG451" s="32">
        <v>0</v>
      </c>
      <c r="AH451" s="32">
        <v>0</v>
      </c>
      <c r="AI451" s="32">
        <v>0</v>
      </c>
      <c r="AJ451" s="32">
        <v>0</v>
      </c>
      <c r="AK451" s="32">
        <v>0</v>
      </c>
      <c r="AL451" s="32">
        <v>0</v>
      </c>
      <c r="AM451" s="32">
        <v>0</v>
      </c>
      <c r="AN451" s="32">
        <v>0</v>
      </c>
      <c r="AO451" s="32">
        <v>0</v>
      </c>
      <c r="AP451" s="32">
        <v>0</v>
      </c>
      <c r="AQ451" s="32">
        <v>0</v>
      </c>
      <c r="AR451" s="38">
        <v>0</v>
      </c>
      <c r="AS451" s="32">
        <f>SUM(AG451:AR451)</f>
        <v>0</v>
      </c>
    </row>
    <row r="452" spans="3:45" ht="13.5" thickBot="1">
      <c r="C452" s="6" t="s">
        <v>160</v>
      </c>
      <c r="AG452" s="33">
        <f aca="true" t="shared" si="117" ref="AG452:AS452">SUM(AG449:AG451)</f>
        <v>0</v>
      </c>
      <c r="AH452" s="33">
        <f t="shared" si="117"/>
        <v>0</v>
      </c>
      <c r="AI452" s="33">
        <f t="shared" si="117"/>
        <v>0</v>
      </c>
      <c r="AJ452" s="33">
        <f t="shared" si="117"/>
        <v>0</v>
      </c>
      <c r="AK452" s="33">
        <f t="shared" si="117"/>
        <v>0</v>
      </c>
      <c r="AL452" s="33">
        <f t="shared" si="117"/>
        <v>0</v>
      </c>
      <c r="AM452" s="33">
        <f t="shared" si="117"/>
        <v>0</v>
      </c>
      <c r="AN452" s="33">
        <f t="shared" si="117"/>
        <v>104.17</v>
      </c>
      <c r="AO452" s="33">
        <f t="shared" si="117"/>
        <v>0</v>
      </c>
      <c r="AP452" s="33">
        <f t="shared" si="117"/>
        <v>0</v>
      </c>
      <c r="AQ452" s="33">
        <f t="shared" si="117"/>
        <v>0</v>
      </c>
      <c r="AR452" s="39">
        <f t="shared" si="117"/>
        <v>0</v>
      </c>
      <c r="AS452" s="44">
        <f t="shared" si="117"/>
        <v>104.17</v>
      </c>
    </row>
    <row r="453" spans="3:45" ht="12.75">
      <c r="C453" s="1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41"/>
      <c r="AS453" s="34"/>
    </row>
    <row r="454" spans="1:45" ht="21">
      <c r="A454" s="18">
        <f>+A448+1</f>
        <v>64</v>
      </c>
      <c r="B454" s="26"/>
      <c r="C454" s="5" t="s">
        <v>161</v>
      </c>
      <c r="AS454" s="34"/>
    </row>
    <row r="455" spans="1:45" ht="12.75">
      <c r="A455" s="25"/>
      <c r="B455" s="25"/>
      <c r="C455" s="4" t="str">
        <f>C449</f>
        <v>Debt Reserve</v>
      </c>
      <c r="AG455" s="32">
        <v>0</v>
      </c>
      <c r="AH455" s="32">
        <v>0</v>
      </c>
      <c r="AI455" s="32">
        <v>0</v>
      </c>
      <c r="AJ455" s="32">
        <v>0</v>
      </c>
      <c r="AK455" s="32">
        <v>0</v>
      </c>
      <c r="AL455" s="32">
        <v>0</v>
      </c>
      <c r="AM455" s="32">
        <v>0</v>
      </c>
      <c r="AN455" s="32">
        <v>0</v>
      </c>
      <c r="AO455" s="32">
        <v>0</v>
      </c>
      <c r="AP455" s="32">
        <v>0</v>
      </c>
      <c r="AQ455" s="32">
        <v>0</v>
      </c>
      <c r="AR455" s="38">
        <v>0</v>
      </c>
      <c r="AS455" s="32">
        <f>SUM(AG455:AR455)</f>
        <v>0</v>
      </c>
    </row>
    <row r="456" spans="3:45" ht="12.75">
      <c r="C456" s="4" t="str">
        <f>C450</f>
        <v>Treasury Fee</v>
      </c>
      <c r="AG456" s="42"/>
      <c r="AO456">
        <v>83.33</v>
      </c>
      <c r="AS456" s="32">
        <f>SUM(AG456:AR456)</f>
        <v>83.33</v>
      </c>
    </row>
    <row r="457" spans="3:45" ht="13.5" thickBot="1">
      <c r="C457" s="4" t="str">
        <f>C451</f>
        <v>Intercept</v>
      </c>
      <c r="AG457" s="32">
        <v>0</v>
      </c>
      <c r="AH457" s="32">
        <v>0</v>
      </c>
      <c r="AI457" s="32">
        <v>0</v>
      </c>
      <c r="AJ457" s="32">
        <v>0</v>
      </c>
      <c r="AK457" s="32">
        <v>0</v>
      </c>
      <c r="AL457" s="32">
        <v>0</v>
      </c>
      <c r="AM457" s="32">
        <v>0</v>
      </c>
      <c r="AN457" s="32">
        <v>0</v>
      </c>
      <c r="AO457" s="32">
        <v>0</v>
      </c>
      <c r="AP457" s="32">
        <v>0</v>
      </c>
      <c r="AQ457" s="32">
        <v>0</v>
      </c>
      <c r="AR457" s="38">
        <v>0</v>
      </c>
      <c r="AS457" s="32">
        <f>SUM(AG457:AR457)</f>
        <v>0</v>
      </c>
    </row>
    <row r="458" spans="3:45" ht="13.5" thickBot="1">
      <c r="C458" s="6" t="s">
        <v>160</v>
      </c>
      <c r="AG458" s="33">
        <f aca="true" t="shared" si="118" ref="AG458:AS458">SUM(AG455:AG457)</f>
        <v>0</v>
      </c>
      <c r="AH458" s="33">
        <f t="shared" si="118"/>
        <v>0</v>
      </c>
      <c r="AI458" s="33">
        <f t="shared" si="118"/>
        <v>0</v>
      </c>
      <c r="AJ458" s="33">
        <f t="shared" si="118"/>
        <v>0</v>
      </c>
      <c r="AK458" s="33">
        <f t="shared" si="118"/>
        <v>0</v>
      </c>
      <c r="AL458" s="33">
        <f t="shared" si="118"/>
        <v>0</v>
      </c>
      <c r="AM458" s="33">
        <f t="shared" si="118"/>
        <v>0</v>
      </c>
      <c r="AN458" s="33">
        <f t="shared" si="118"/>
        <v>0</v>
      </c>
      <c r="AO458" s="33">
        <f t="shared" si="118"/>
        <v>83.33</v>
      </c>
      <c r="AP458" s="33">
        <f t="shared" si="118"/>
        <v>0</v>
      </c>
      <c r="AQ458" s="33">
        <f t="shared" si="118"/>
        <v>0</v>
      </c>
      <c r="AR458" s="39">
        <f t="shared" si="118"/>
        <v>0</v>
      </c>
      <c r="AS458" s="44">
        <f t="shared" si="118"/>
        <v>83.33</v>
      </c>
    </row>
    <row r="459" spans="3:45" ht="12.75">
      <c r="C459" s="1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41"/>
      <c r="AS459" s="34"/>
    </row>
    <row r="460" spans="1:45" ht="21">
      <c r="A460" s="18">
        <f>+A454+1</f>
        <v>65</v>
      </c>
      <c r="B460" s="26"/>
      <c r="C460" s="5" t="s">
        <v>162</v>
      </c>
      <c r="AS460" s="34"/>
    </row>
    <row r="461" spans="1:45" ht="12.75">
      <c r="A461" s="25"/>
      <c r="B461" s="25"/>
      <c r="C461" s="4" t="str">
        <f>C455</f>
        <v>Debt Reserve</v>
      </c>
      <c r="AG461" s="32">
        <v>0</v>
      </c>
      <c r="AH461" s="32">
        <v>0</v>
      </c>
      <c r="AI461" s="32">
        <v>0</v>
      </c>
      <c r="AJ461" s="32">
        <v>0</v>
      </c>
      <c r="AK461" s="32">
        <v>0</v>
      </c>
      <c r="AL461" s="32">
        <v>0</v>
      </c>
      <c r="AM461" s="32">
        <v>0</v>
      </c>
      <c r="AN461" s="32">
        <v>0</v>
      </c>
      <c r="AO461" s="32">
        <v>0</v>
      </c>
      <c r="AP461" s="32">
        <v>0</v>
      </c>
      <c r="AQ461" s="32">
        <v>0</v>
      </c>
      <c r="AR461" s="38">
        <v>0</v>
      </c>
      <c r="AS461" s="32">
        <f>SUM(AG461:AR461)</f>
        <v>0</v>
      </c>
    </row>
    <row r="462" spans="3:45" ht="12.75">
      <c r="C462" s="4" t="str">
        <f>C456</f>
        <v>Treasury Fee</v>
      </c>
      <c r="AG462" s="42"/>
      <c r="AP462" s="42">
        <v>62.5</v>
      </c>
      <c r="AS462" s="32">
        <f>SUM(AG462:AR462)</f>
        <v>62.5</v>
      </c>
    </row>
    <row r="463" spans="3:45" ht="13.5" thickBot="1">
      <c r="C463" s="4" t="str">
        <f>C457</f>
        <v>Intercept</v>
      </c>
      <c r="AG463" s="32">
        <v>0</v>
      </c>
      <c r="AH463" s="32">
        <v>0</v>
      </c>
      <c r="AI463" s="32">
        <v>0</v>
      </c>
      <c r="AJ463" s="32">
        <v>0</v>
      </c>
      <c r="AK463" s="32">
        <v>0</v>
      </c>
      <c r="AL463" s="32">
        <v>0</v>
      </c>
      <c r="AM463" s="32">
        <v>0</v>
      </c>
      <c r="AN463" s="32">
        <v>0</v>
      </c>
      <c r="AO463" s="32">
        <v>0</v>
      </c>
      <c r="AP463" s="32">
        <v>26471.64</v>
      </c>
      <c r="AQ463" s="32">
        <v>26471.64</v>
      </c>
      <c r="AR463" s="38">
        <v>26471.64</v>
      </c>
      <c r="AS463" s="32">
        <f>SUM(AG463:AR463)</f>
        <v>79414.92</v>
      </c>
    </row>
    <row r="464" spans="3:45" ht="13.5" thickBot="1">
      <c r="C464" s="6" t="s">
        <v>163</v>
      </c>
      <c r="AG464" s="33">
        <f aca="true" t="shared" si="119" ref="AG464:AS464">SUM(AG461:AG463)</f>
        <v>0</v>
      </c>
      <c r="AH464" s="33">
        <f t="shared" si="119"/>
        <v>0</v>
      </c>
      <c r="AI464" s="33">
        <f t="shared" si="119"/>
        <v>0</v>
      </c>
      <c r="AJ464" s="33">
        <f t="shared" si="119"/>
        <v>0</v>
      </c>
      <c r="AK464" s="33">
        <f t="shared" si="119"/>
        <v>0</v>
      </c>
      <c r="AL464" s="33">
        <f t="shared" si="119"/>
        <v>0</v>
      </c>
      <c r="AM464" s="33">
        <f t="shared" si="119"/>
        <v>0</v>
      </c>
      <c r="AN464" s="33">
        <f t="shared" si="119"/>
        <v>0</v>
      </c>
      <c r="AO464" s="33">
        <f t="shared" si="119"/>
        <v>0</v>
      </c>
      <c r="AP464" s="33">
        <f t="shared" si="119"/>
        <v>26534.14</v>
      </c>
      <c r="AQ464" s="33">
        <f t="shared" si="119"/>
        <v>26471.64</v>
      </c>
      <c r="AR464" s="39">
        <f t="shared" si="119"/>
        <v>26471.64</v>
      </c>
      <c r="AS464" s="44">
        <f t="shared" si="119"/>
        <v>79477.42</v>
      </c>
    </row>
    <row r="465" spans="3:45" ht="12.75">
      <c r="C465" s="1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41"/>
      <c r="AS465" s="34"/>
    </row>
    <row r="466" spans="1:45" ht="21">
      <c r="A466" s="18">
        <f>+A460+1</f>
        <v>66</v>
      </c>
      <c r="B466" s="26"/>
      <c r="C466" s="5" t="s">
        <v>164</v>
      </c>
      <c r="AS466" s="34"/>
    </row>
    <row r="467" spans="1:45" ht="12.75">
      <c r="A467" s="25"/>
      <c r="B467" s="25"/>
      <c r="C467" s="4" t="str">
        <f>C461</f>
        <v>Debt Reserve</v>
      </c>
      <c r="AG467" s="32">
        <v>0</v>
      </c>
      <c r="AH467" s="32">
        <v>0</v>
      </c>
      <c r="AI467" s="32">
        <v>0</v>
      </c>
      <c r="AJ467" s="32">
        <v>0</v>
      </c>
      <c r="AK467" s="32">
        <v>0</v>
      </c>
      <c r="AL467" s="32">
        <v>0</v>
      </c>
      <c r="AM467" s="32">
        <v>0</v>
      </c>
      <c r="AN467" s="32">
        <v>0</v>
      </c>
      <c r="AO467" s="32">
        <v>0</v>
      </c>
      <c r="AP467" s="32">
        <v>0</v>
      </c>
      <c r="AQ467" s="32">
        <v>0</v>
      </c>
      <c r="AR467" s="38">
        <v>0</v>
      </c>
      <c r="AS467" s="32">
        <f>SUM(AG467:AR467)</f>
        <v>0</v>
      </c>
    </row>
    <row r="468" spans="3:45" ht="12.75">
      <c r="C468" s="4" t="str">
        <f>C462</f>
        <v>Treasury Fee</v>
      </c>
      <c r="AG468" s="42"/>
      <c r="AP468" s="42"/>
      <c r="AQ468">
        <v>41.67</v>
      </c>
      <c r="AS468" s="32">
        <f>SUM(AG468:AR468)</f>
        <v>41.67</v>
      </c>
    </row>
    <row r="469" spans="3:45" ht="13.5" thickBot="1">
      <c r="C469" s="4" t="str">
        <f>C463</f>
        <v>Intercept</v>
      </c>
      <c r="AG469" s="32">
        <v>0</v>
      </c>
      <c r="AH469" s="32">
        <v>0</v>
      </c>
      <c r="AI469" s="32">
        <v>0</v>
      </c>
      <c r="AJ469" s="32">
        <v>0</v>
      </c>
      <c r="AK469" s="32">
        <v>0</v>
      </c>
      <c r="AL469" s="32">
        <v>0</v>
      </c>
      <c r="AM469" s="32">
        <v>0</v>
      </c>
      <c r="AN469" s="32">
        <v>0</v>
      </c>
      <c r="AO469" s="32">
        <v>0</v>
      </c>
      <c r="AP469" s="32">
        <v>0</v>
      </c>
      <c r="AQ469" s="32">
        <v>0</v>
      </c>
      <c r="AR469" s="38">
        <v>0</v>
      </c>
      <c r="AS469" s="32">
        <f>SUM(AG469:AR469)</f>
        <v>0</v>
      </c>
    </row>
    <row r="470" spans="3:45" ht="13.5" thickBot="1">
      <c r="C470" s="6" t="s">
        <v>165</v>
      </c>
      <c r="AG470" s="33">
        <f aca="true" t="shared" si="120" ref="AG470:AS470">SUM(AG467:AG469)</f>
        <v>0</v>
      </c>
      <c r="AH470" s="33">
        <f t="shared" si="120"/>
        <v>0</v>
      </c>
      <c r="AI470" s="33">
        <f t="shared" si="120"/>
        <v>0</v>
      </c>
      <c r="AJ470" s="33">
        <f t="shared" si="120"/>
        <v>0</v>
      </c>
      <c r="AK470" s="33">
        <f t="shared" si="120"/>
        <v>0</v>
      </c>
      <c r="AL470" s="33">
        <f t="shared" si="120"/>
        <v>0</v>
      </c>
      <c r="AM470" s="33">
        <f t="shared" si="120"/>
        <v>0</v>
      </c>
      <c r="AN470" s="33">
        <f t="shared" si="120"/>
        <v>0</v>
      </c>
      <c r="AO470" s="33">
        <f t="shared" si="120"/>
        <v>0</v>
      </c>
      <c r="AP470" s="33">
        <f t="shared" si="120"/>
        <v>0</v>
      </c>
      <c r="AQ470" s="33">
        <f t="shared" si="120"/>
        <v>41.67</v>
      </c>
      <c r="AR470" s="39">
        <f t="shared" si="120"/>
        <v>0</v>
      </c>
      <c r="AS470" s="44">
        <f t="shared" si="120"/>
        <v>41.67</v>
      </c>
    </row>
    <row r="471" spans="3:45" ht="12.75">
      <c r="C471" s="1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41"/>
      <c r="AS471" s="34"/>
    </row>
    <row r="472" ht="15.75">
      <c r="C472" s="5" t="s">
        <v>41</v>
      </c>
    </row>
    <row r="473" spans="3:45" ht="15.75">
      <c r="C473" s="4" t="s">
        <v>42</v>
      </c>
      <c r="AG473" s="35">
        <f>SUM(AG5,AG11,AG17,AG23,AG29,AG35,AG41,AG47,AG53,AG59,AG65,AG71,AG77,AG83,AG89,AG95,AG101,AG107,AG113,AG119,AG125,AG131,AG137,AG143,AG149,AG155,AG161,AG167,AG173,AG179)+SUM(AG185,AG191,AG197,AG203,AG209,AG215,AG221,AG227,AG233,AG239,AG245,AG251,AG257,AG263,AG269,AG275,AG281,AG287,AG293,AG299,AG305,AG311,AG317,AG323,AG329,AG335,AG341,AG347,AG353,AG359)+SUM(AG365,AG371,AG377,AG383,AG389,AG395,AG401,AG407,AG413,AG419,AG425,AG431,AG437,AG443,AG449,AG455,AG461,AG467)</f>
        <v>33154.66</v>
      </c>
      <c r="AH473" s="35">
        <f aca="true" t="shared" si="121" ref="AH473:AR473">SUM(AH5,AH11,AH17,AH23,AH29,AH35,AH41,AH47,AH53,AH59,AH65,AH71,AH77,AH83,AH89,AH95,AH101,AH107,AH113,AH119,AH125,AH131,AH137,AH143,AH149,AH155,AH161,AH167,AH173,AH179)+SUM(AH185,AH191,AH197,AH203,AH209,AH215,AH221,AH227,AH233,AH239,AH245,AH251,AH257,AH263,AH269,AH275,AH281,AH287,AH293,AH299,AH305,AH311,AH317,AH323,AH329,AH335,AH341,AH347,AH353,AH359)+SUM(AH365,AH371,AH377,AH383,AH389,AH395,AH401,AH407,AH413,AH419,AH425,AH431,AH437,AH443,AH449,AH455,AH461,AH467)</f>
        <v>33154.66</v>
      </c>
      <c r="AI473" s="35">
        <f t="shared" si="121"/>
        <v>33083.42</v>
      </c>
      <c r="AJ473" s="35">
        <f t="shared" si="121"/>
        <v>32959.67</v>
      </c>
      <c r="AK473" s="35">
        <f t="shared" si="121"/>
        <v>32881.49</v>
      </c>
      <c r="AL473" s="35">
        <f t="shared" si="121"/>
        <v>32842.33</v>
      </c>
      <c r="AM473" s="35">
        <f t="shared" si="121"/>
        <v>32800.270000000004</v>
      </c>
      <c r="AN473" s="35">
        <f t="shared" si="121"/>
        <v>32800.270000000004</v>
      </c>
      <c r="AO473" s="35">
        <f t="shared" si="121"/>
        <v>32787.770000000004</v>
      </c>
      <c r="AP473" s="35">
        <f t="shared" si="121"/>
        <v>32695.370000000003</v>
      </c>
      <c r="AQ473" s="35">
        <f t="shared" si="121"/>
        <v>32634.120000000003</v>
      </c>
      <c r="AR473" s="40">
        <f t="shared" si="121"/>
        <v>32488.2</v>
      </c>
      <c r="AS473" s="35">
        <f>SUM(AG473:AR473)</f>
        <v>394282.23000000004</v>
      </c>
    </row>
    <row r="474" spans="3:45" ht="15.75">
      <c r="C474" s="4" t="s">
        <v>43</v>
      </c>
      <c r="AG474" s="35">
        <f>SUM(AG6,AG12,AG18,AG24,AG30,AG36,AG42,AG48,AG54,AG60,AG66,AG72,AG78,AG84,AG90,AG96,AG102,AG108,AG114,AG120,AG126,AG132,AG138,AG144,AG150,AG156,AG162,AG168,AG174,AG180)+SUM(AG186,AG192,AG198,AG204,AG210,AG216,AG222,AG228,AG234,AG240,AG246,AG252,AG258,AG264,AG270,AG276,AG282,AG288,AG294,AG300,AG306,AG312,AG318,AG324,AG330,AG336,AG342,AG348,AG354,AG360)+SUM(AG366,AG372,AG378,AG384,AG390,AG396,AG402,AG408,,AG414,AG420,AG426,AG432,AG438,AG444,AG450,AG456,AG462,AG468)</f>
        <v>15249.99</v>
      </c>
      <c r="AH474" s="35">
        <f aca="true" t="shared" si="122" ref="AH474:AR474">SUM(AH6,AH12,AH18,AH24,AH30,AH36,AH42,AH48,AH54,AH60,AH66,AH72,AH78,AH84,AH90,AH96,AH102,AH108,AH114,AH120,AH126,AH132,AH138,AH144,AH150,AH156,AH162,AH168,AH174,AH180)+SUM(AH186,AH192,AH198,AH204,AH210,AH216,AH222,AH228,AH234,AH240,AH246,AH252,AH258,AH264,AH270,AH276,AH282,AH288,AH294,AH300,AH306,AH312,AH318,AH324,AH330,AH336,AH342,AH348,AH354,AH360)+SUM(AH366,AH372,AH378,AH384,AH390,AH396,AH402,AH408,,AH414,AH420,AH426,AH432,AH438,AH444,AH450,AH456,AH462,AH468)</f>
        <v>0</v>
      </c>
      <c r="AI474" s="35">
        <f t="shared" si="122"/>
        <v>0</v>
      </c>
      <c r="AJ474" s="35">
        <f t="shared" si="122"/>
        <v>0</v>
      </c>
      <c r="AK474" s="35">
        <f t="shared" si="122"/>
        <v>0</v>
      </c>
      <c r="AL474" s="35">
        <f t="shared" si="122"/>
        <v>0</v>
      </c>
      <c r="AM474" s="35">
        <f t="shared" si="122"/>
        <v>0</v>
      </c>
      <c r="AN474" s="35">
        <f t="shared" si="122"/>
        <v>104.17</v>
      </c>
      <c r="AO474" s="35">
        <f t="shared" si="122"/>
        <v>83.33</v>
      </c>
      <c r="AP474" s="35">
        <f t="shared" si="122"/>
        <v>62.5</v>
      </c>
      <c r="AQ474" s="35">
        <f t="shared" si="122"/>
        <v>41.67</v>
      </c>
      <c r="AR474" s="40">
        <f t="shared" si="122"/>
        <v>0</v>
      </c>
      <c r="AS474" s="35">
        <f>SUM(AG474:AR474)</f>
        <v>15541.66</v>
      </c>
    </row>
    <row r="475" spans="3:45" ht="15.75">
      <c r="C475" s="4" t="s">
        <v>44</v>
      </c>
      <c r="AG475" s="35">
        <f>SUM(AG7,AG13,AG19,AG25,AG31,AG37,AG43,AG49,AG55,AG61,AG67,AG73,AG79,AG85,AG91,AG97,AG103,AG109,AG115,AG121,AG127,AG133,AG139,AG145,AG151,AG157,AG163,AG169,AG175,AG181)+SUM(AG187,AG193,AG199,AG205,AG211,AG217,AG223,AG229,AG235,AG241,AG247,AG253,AG259,AG265,AG271,AG277,AG283,AG289,AG295,AG301,AG307,AG313,AG319,AG325,AG331,AG337,AG343,AG349,AG355,AG361)+SUM(AG367,AG373,AG379,AG385,AG391,AG397,AG403,AG409,AG415,AG421,AG427,AG433,AG439,AG445,AG451,AG457,AG463,AG469)</f>
        <v>3200818.91</v>
      </c>
      <c r="AH475" s="35">
        <f aca="true" t="shared" si="123" ref="AH475:AR476">SUM(AH7,AH13,AH19,AH25,AH31,AH37,AH43,AH49,AH55,AH61,AH67,AH73,AH79,AH85,AH91,AH97,AH103,AH109,AH115,AH121,AH127,AH133,AH139,AH145,AH151,AH157,AH163,AH169,AH175,AH181)+SUM(AH187,AH193,AH199,AH205,AH211,AH217,AH223,AH229,AH235,AH241,AH247,AH253,AH259,AH265,AH271,AH277,AH283,AH289,AH295,AH301,AH307,AH313,AH319,AH325,AH331,AH337,AH343,AH349,AH355,AH361)+SUM(AH367,AH373,AH379,AH385,AH391,AH397,AH403,AH409,AH415,AH421,AH427,AH433,AH439,AH445,AH451,AH457,AH463,AH469)</f>
        <v>3216059.74</v>
      </c>
      <c r="AI475" s="35">
        <f t="shared" si="123"/>
        <v>3180097.0100000002</v>
      </c>
      <c r="AJ475" s="35">
        <f t="shared" si="123"/>
        <v>3244460.5500000003</v>
      </c>
      <c r="AK475" s="35">
        <f t="shared" si="123"/>
        <v>3360382.46</v>
      </c>
      <c r="AL475" s="35">
        <f t="shared" si="123"/>
        <v>3367479.42</v>
      </c>
      <c r="AM475" s="35">
        <f t="shared" si="123"/>
        <v>3420689.08</v>
      </c>
      <c r="AN475" s="35">
        <f t="shared" si="123"/>
        <v>3421084.9099999997</v>
      </c>
      <c r="AO475" s="35">
        <f t="shared" si="123"/>
        <v>3438633.409999999</v>
      </c>
      <c r="AP475" s="35">
        <f t="shared" si="123"/>
        <v>3466341.5099999993</v>
      </c>
      <c r="AQ475" s="35">
        <f t="shared" si="123"/>
        <v>3465924.32</v>
      </c>
      <c r="AR475" s="40">
        <f t="shared" si="123"/>
        <v>3503253.2699999996</v>
      </c>
      <c r="AS475" s="35">
        <f>SUM(AG475:AR475)</f>
        <v>40285224.59</v>
      </c>
    </row>
    <row r="476" spans="3:45" ht="15.75">
      <c r="C476" s="27" t="s">
        <v>45</v>
      </c>
      <c r="AG476" s="35">
        <f>SUM(AG8,AG14,AG20,AG26,AG32,AG38,AG44,AG50,AG56,AG62,AG68,AG74,AG80,AG86,AG92,AG98,AG104,AG110,AG116,AG122,AG128,AG134,AG140,AG146,AG152,AG158,AG164,AG170,AG176,AG182)+SUM(AG188,AG194,AG200,AG206,AG212,AG218,AG224,AG230,AG236,AG242,AG248,AG254,AG260,AG266,AG272,AG278,AG284,AG290,AG296,AG302,AG308,AG314,AG320,AG326,AG332,AG338,AG344,AG350,AG356,AG362)+SUM(AG368,AG374,AG380,AG386,AG392,AG398,AG404,AG410,AG416,AG422,AG428,AG434,AG440,AG446,AG452,AG458,AG464,AG470)</f>
        <v>3249223.56</v>
      </c>
      <c r="AH476" s="35">
        <f t="shared" si="123"/>
        <v>3249214.4000000004</v>
      </c>
      <c r="AI476" s="35">
        <f t="shared" si="123"/>
        <v>3213180.43</v>
      </c>
      <c r="AJ476" s="35">
        <f t="shared" si="123"/>
        <v>3277420.2200000007</v>
      </c>
      <c r="AK476" s="35">
        <f t="shared" si="123"/>
        <v>3393263.95</v>
      </c>
      <c r="AL476" s="35">
        <f t="shared" si="123"/>
        <v>3400321.7500000005</v>
      </c>
      <c r="AM476" s="35">
        <f t="shared" si="123"/>
        <v>3453489.35</v>
      </c>
      <c r="AN476" s="35">
        <f t="shared" si="123"/>
        <v>3453989.35</v>
      </c>
      <c r="AO476" s="35">
        <f t="shared" si="123"/>
        <v>3471504.5100000002</v>
      </c>
      <c r="AP476" s="35">
        <f t="shared" si="123"/>
        <v>3499099.3800000004</v>
      </c>
      <c r="AQ476" s="35">
        <f t="shared" si="123"/>
        <v>3498600.1100000003</v>
      </c>
      <c r="AR476" s="40">
        <f t="shared" si="123"/>
        <v>3535741.4699999997</v>
      </c>
      <c r="AS476" s="35">
        <f>SUM(AG476:AR476)</f>
        <v>40695048.480000004</v>
      </c>
    </row>
    <row r="477" ht="12.75">
      <c r="C477" s="4"/>
    </row>
    <row r="478" spans="2:3" ht="21">
      <c r="B478" s="9" t="s">
        <v>108</v>
      </c>
      <c r="C478" s="28" t="s">
        <v>88</v>
      </c>
    </row>
    <row r="479" spans="2:3" ht="21">
      <c r="B479" s="11" t="s">
        <v>109</v>
      </c>
      <c r="C479" s="29" t="s">
        <v>65</v>
      </c>
    </row>
    <row r="480" spans="2:3" ht="21">
      <c r="B480" s="7" t="s">
        <v>107</v>
      </c>
      <c r="C480" s="30" t="s">
        <v>60</v>
      </c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</sheetData>
  <sheetProtection/>
  <printOptions horizontalCentered="1"/>
  <pageMargins left="0" right="0" top="0.25" bottom="0.25" header="0.5" footer="0.5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</dc:creator>
  <cp:keywords/>
  <dc:description/>
  <cp:lastModifiedBy>Christel_M</cp:lastModifiedBy>
  <cp:lastPrinted>2005-05-31T15:38:03Z</cp:lastPrinted>
  <dcterms:created xsi:type="dcterms:W3CDTF">2005-05-31T15:34:27Z</dcterms:created>
  <dcterms:modified xsi:type="dcterms:W3CDTF">2012-06-13T21:52:29Z</dcterms:modified>
  <cp:category/>
  <cp:version/>
  <cp:contentType/>
  <cp:contentStatus/>
</cp:coreProperties>
</file>