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ecast Tool" sheetId="1" r:id="rId4"/>
  </sheets>
  <definedNames/>
  <calcPr/>
  <extLst>
    <ext uri="GoogleSheetsCustomDataVersion1">
      <go:sheetsCustomData xmlns:go="http://customooxmlschemas.google.com/" r:id="rId5" roundtripDataSignature="AMtx7mhemPyTMiRFSugN4vR9xjWbGLG5b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4">
      <text>
        <t xml:space="preserve">======
ID#AAAAVEtZxSo
Chris Scott    (2022-02-02 20:34:03)
If this exceeds 20-22 upfront, it needs to move down to 15 or less in outgoing years</t>
      </text>
    </comment>
    <comment authorId="0" ref="D5">
      <text>
        <t xml:space="preserve">======
ID#AAAAVEtZxSk
Chris Scott    (2022-02-02 20:34:03)
curriculum dependent, facility dependent (gym, PBL needs, kitchen,etc)</t>
      </text>
    </comment>
    <comment authorId="0" ref="D11">
      <text>
        <t xml:space="preserve">======
ID#AAAAVEtZxSg
Chris Scott    (2022-02-02 20:34:03)
this is a range, higher for SpEd and ELL, lower for some office support positions, higher for office managers</t>
      </text>
    </comment>
    <comment authorId="0" ref="D3">
      <text>
        <t xml:space="preserve">======
ID#AAAAVEtZxSc
Chris Scott    (2022-02-02 20:34:03)
Flagged in the budget forecast with a red-highlighted cell if this is exceeded</t>
      </text>
    </comment>
  </commentList>
  <extLst>
    <ext uri="GoogleSheetsCustomDataVersion1">
      <go:sheetsCustomData xmlns:go="http://customooxmlschemas.google.com/" r:id="rId1" roundtripDataSignature="AMtx7mhy6/UUNaOqPq+MNGkjH8/RnubBQA=="/>
    </ext>
  </extLst>
</comments>
</file>

<file path=xl/sharedStrings.xml><?xml version="1.0" encoding="utf-8"?>
<sst xmlns="http://schemas.openxmlformats.org/spreadsheetml/2006/main" count="84" uniqueCount="70">
  <si>
    <t>Key Metrics/Targets/Assumptions</t>
  </si>
  <si>
    <t>Salaries and Benefits</t>
  </si>
  <si>
    <t>% of total revenue</t>
  </si>
  <si>
    <t>Facilities (Rent, insurance, utilities)</t>
  </si>
  <si>
    <t>Facilities Size</t>
  </si>
  <si>
    <t>square feet /student</t>
  </si>
  <si>
    <t xml:space="preserve"> Lease space $$$/square foot (average)</t>
  </si>
  <si>
    <t>$/square foot</t>
  </si>
  <si>
    <t>Benefits</t>
  </si>
  <si>
    <t>% of salaries (at least 23%)</t>
  </si>
  <si>
    <t>Per Pupil Revenue (PPR)</t>
  </si>
  <si>
    <t>https://www.cde.state.co.us/cdefinance/sfdetails</t>
  </si>
  <si>
    <t>Addtl Revenue</t>
  </si>
  <si>
    <t>% of PPR (MLO, state grants)</t>
  </si>
  <si>
    <t>Avg Instruction Salary</t>
  </si>
  <si>
    <t>classroom teachers</t>
  </si>
  <si>
    <t>Avg Support Salary</t>
  </si>
  <si>
    <t xml:space="preserve">office staff, student support </t>
  </si>
  <si>
    <t>Avg Admin Salary</t>
  </si>
  <si>
    <t>principal, exec dir, dean</t>
  </si>
  <si>
    <t>District Fee</t>
  </si>
  <si>
    <t xml:space="preserve">% of PPR  </t>
  </si>
  <si>
    <t>Supplies</t>
  </si>
  <si>
    <t>$/funded pupil</t>
  </si>
  <si>
    <t>Instructional Tech</t>
  </si>
  <si>
    <t>$/student (assume 1:1)  (25% after Year 1)</t>
  </si>
  <si>
    <t>Support Tech</t>
  </si>
  <si>
    <t>$/staff member  (25% after Year 1)</t>
  </si>
  <si>
    <t>Furniture</t>
  </si>
  <si>
    <t>$/classroom (25% after Year 1)</t>
  </si>
  <si>
    <t>Contingency</t>
  </si>
  <si>
    <t>% of PPR held back (i.e. to account for enrollment shortfall)</t>
  </si>
  <si>
    <t>Student/Facilities Projection</t>
  </si>
  <si>
    <t>Year 1</t>
  </si>
  <si>
    <t>Year 2</t>
  </si>
  <si>
    <t>Year 3</t>
  </si>
  <si>
    <t>Year 4</t>
  </si>
  <si>
    <t>Year 5</t>
  </si>
  <si>
    <t>Grades Served</t>
  </si>
  <si>
    <t>Classes/Grade</t>
  </si>
  <si>
    <t>Students/Class</t>
  </si>
  <si>
    <t>(A)Total Enrollment</t>
  </si>
  <si>
    <t>Size of space (Square Feet)</t>
  </si>
  <si>
    <t xml:space="preserve">(B)Cost of facilities </t>
  </si>
  <si>
    <t>Staff Projection</t>
  </si>
  <si>
    <t># Instructional Staff</t>
  </si>
  <si>
    <t># Support Staff</t>
  </si>
  <si>
    <t># Admin Staff</t>
  </si>
  <si>
    <r>
      <rPr>
        <rFont val="Calibri"/>
        <b/>
        <color theme="1"/>
        <sz val="11.0"/>
      </rPr>
      <t>Instructional Staff</t>
    </r>
    <r>
      <rPr>
        <rFont val="Calibri"/>
        <b/>
        <color rgb="FF000000"/>
        <sz val="11.0"/>
      </rPr>
      <t xml:space="preserve"> Salaries</t>
    </r>
  </si>
  <si>
    <t>Support Staff Salaries</t>
  </si>
  <si>
    <t>Admin Staff Salaries</t>
  </si>
  <si>
    <t>(C)Total Salaries and Benefits</t>
  </si>
  <si>
    <t>Budget Projection</t>
  </si>
  <si>
    <t>Revenue</t>
  </si>
  <si>
    <t>Additional</t>
  </si>
  <si>
    <t>Other</t>
  </si>
  <si>
    <t>PPR</t>
  </si>
  <si>
    <t>Total</t>
  </si>
  <si>
    <t>Expense</t>
  </si>
  <si>
    <t>Salaries/ Benefits</t>
  </si>
  <si>
    <t>Purchased Professional Services</t>
  </si>
  <si>
    <t>Facility</t>
  </si>
  <si>
    <t>Facility - other</t>
  </si>
  <si>
    <t>Other Purchased Services</t>
  </si>
  <si>
    <t>Supplies - Other</t>
  </si>
  <si>
    <t>Equipment</t>
  </si>
  <si>
    <t>Equipment - Other</t>
  </si>
  <si>
    <t xml:space="preserve">Other  </t>
  </si>
  <si>
    <t>Reserves</t>
  </si>
  <si>
    <t>Remaining Funds for operations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</si>
</sst>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5">
    <font>
      <sz val="11.0"/>
      <color theme="1"/>
      <name val="Calibri"/>
    </font>
    <font/>
    <font>
      <b/>
      <sz val="11.0"/>
      <color theme="1"/>
      <name val="Calibri"/>
    </font>
    <font>
      <u/>
      <sz val="11.0"/>
      <color theme="10"/>
      <name val="Calibri"/>
    </font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4B083"/>
        <bgColor rgb="FFF4B083"/>
      </patternFill>
    </fill>
    <fill>
      <patternFill patternType="solid">
        <fgColor rgb="FFFFD966"/>
        <bgColor rgb="FFFFD966"/>
      </patternFill>
    </fill>
  </fills>
  <borders count="12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horizontal="center" shrinkToFit="0" wrapText="1"/>
    </xf>
    <xf borderId="1" fillId="0" fontId="1" numFmtId="0" xfId="0" applyBorder="1" applyFont="1"/>
    <xf borderId="0" fillId="0" fontId="0" numFmtId="0" xfId="0" applyFont="1"/>
    <xf borderId="2" fillId="0" fontId="2" numFmtId="0" xfId="0" applyAlignment="1" applyBorder="1" applyFont="1">
      <alignment horizontal="center" shrinkToFit="0" wrapText="1"/>
    </xf>
    <xf borderId="3" fillId="0" fontId="1" numFmtId="0" xfId="0" applyBorder="1" applyFont="1"/>
    <xf borderId="4" fillId="0" fontId="1" numFmtId="0" xfId="0" applyBorder="1" applyFont="1"/>
    <xf borderId="2" fillId="2" fontId="2" numFmtId="0" xfId="0" applyAlignment="1" applyBorder="1" applyFill="1" applyFont="1">
      <alignment horizontal="center" shrinkToFit="0" wrapText="1"/>
    </xf>
    <xf borderId="5" fillId="0" fontId="0" numFmtId="9" xfId="0" applyAlignment="1" applyBorder="1" applyFont="1" applyNumberFormat="1">
      <alignment readingOrder="0"/>
    </xf>
    <xf borderId="2" fillId="0" fontId="0" numFmtId="0" xfId="0" applyAlignment="1" applyBorder="1" applyFont="1">
      <alignment horizontal="center"/>
    </xf>
    <xf borderId="5" fillId="0" fontId="0" numFmtId="9" xfId="0" applyBorder="1" applyFont="1" applyNumberFormat="1"/>
    <xf borderId="5" fillId="0" fontId="0" numFmtId="0" xfId="0" applyBorder="1" applyFont="1"/>
    <xf borderId="5" fillId="0" fontId="0" numFmtId="164" xfId="0" applyAlignment="1" applyBorder="1" applyFont="1" applyNumberFormat="1">
      <alignment readingOrder="0"/>
    </xf>
    <xf borderId="5" fillId="0" fontId="0" numFmtId="164" xfId="0" applyBorder="1" applyFont="1" applyNumberFormat="1"/>
    <xf borderId="2" fillId="0" fontId="3" numFmtId="0" xfId="0" applyAlignment="1" applyBorder="1" applyFont="1">
      <alignment horizontal="center"/>
    </xf>
    <xf borderId="3" fillId="0" fontId="0" numFmtId="0" xfId="0" applyAlignment="1" applyBorder="1" applyFont="1">
      <alignment horizontal="center" shrinkToFit="0" wrapText="1"/>
    </xf>
    <xf borderId="2" fillId="0" fontId="2" numFmtId="0" xfId="0" applyAlignment="1" applyBorder="1" applyFont="1">
      <alignment horizontal="center" readingOrder="0" shrinkToFit="0" wrapText="1"/>
    </xf>
    <xf borderId="5" fillId="0" fontId="0" numFmtId="0" xfId="0" applyAlignment="1" applyBorder="1" applyFont="1">
      <alignment shrinkToFit="0" vertical="center" wrapText="1"/>
    </xf>
    <xf borderId="4" fillId="0" fontId="0" numFmtId="0" xfId="0" applyAlignment="1" applyBorder="1" applyFont="1">
      <alignment horizontal="center" vertical="center"/>
    </xf>
    <xf borderId="6" fillId="2" fontId="4" numFmtId="0" xfId="0" applyAlignment="1" applyBorder="1" applyFont="1">
      <alignment shrinkToFit="0" vertical="center" wrapText="1"/>
    </xf>
    <xf borderId="7" fillId="0" fontId="0" numFmtId="0" xfId="0" applyAlignment="1" applyBorder="1" applyFont="1">
      <alignment vertical="center"/>
    </xf>
    <xf borderId="6" fillId="3" fontId="4" numFmtId="0" xfId="0" applyAlignment="1" applyBorder="1" applyFill="1" applyFont="1">
      <alignment shrinkToFit="0" vertical="center" wrapText="1"/>
    </xf>
    <xf borderId="8" fillId="3" fontId="4" numFmtId="0" xfId="0" applyAlignment="1" applyBorder="1" applyFont="1">
      <alignment shrinkToFit="0" vertical="center" wrapText="1"/>
    </xf>
    <xf borderId="8" fillId="0" fontId="0" numFmtId="164" xfId="0" applyAlignment="1" applyBorder="1" applyFont="1" applyNumberFormat="1">
      <alignment vertical="center"/>
    </xf>
    <xf borderId="9" fillId="0" fontId="1" numFmtId="0" xfId="0" applyBorder="1" applyFont="1"/>
    <xf borderId="4" fillId="0" fontId="0" numFmtId="0" xfId="0" applyAlignment="1" applyBorder="1" applyFont="1">
      <alignment vertical="center"/>
    </xf>
    <xf borderId="5" fillId="3" fontId="2" numFmtId="0" xfId="0" applyAlignment="1" applyBorder="1" applyFont="1">
      <alignment shrinkToFit="0" vertical="center" wrapText="1"/>
    </xf>
    <xf borderId="7" fillId="0" fontId="0" numFmtId="164" xfId="0" applyAlignment="1" applyBorder="1" applyFont="1" applyNumberFormat="1">
      <alignment vertical="center"/>
    </xf>
    <xf borderId="0" fillId="0" fontId="0" numFmtId="0" xfId="0" applyAlignment="1" applyFont="1">
      <alignment shrinkToFit="0" wrapText="1"/>
    </xf>
    <xf borderId="2" fillId="0" fontId="0" numFmtId="0" xfId="0" applyAlignment="1" applyBorder="1" applyFont="1">
      <alignment horizontal="center" vertical="center"/>
    </xf>
    <xf borderId="6" fillId="3" fontId="4" numFmtId="0" xfId="0" applyAlignment="1" applyBorder="1" applyFont="1">
      <alignment horizontal="left" shrinkToFit="0" vertical="center" wrapText="1"/>
    </xf>
    <xf borderId="0" fillId="0" fontId="0" numFmtId="164" xfId="0" applyFont="1" applyNumberFormat="1"/>
    <xf borderId="6" fillId="2" fontId="4" numFmtId="0" xfId="0" applyAlignment="1" applyBorder="1" applyFont="1">
      <alignment horizontal="left" shrinkToFit="0" vertical="center" wrapText="1"/>
    </xf>
    <xf borderId="10" fillId="0" fontId="0" numFmtId="0" xfId="0" applyAlignment="1" applyBorder="1" applyFont="1">
      <alignment horizontal="center" shrinkToFit="0" wrapText="1"/>
    </xf>
    <xf borderId="10" fillId="0" fontId="1" numFmtId="0" xfId="0" applyBorder="1" applyFont="1"/>
    <xf borderId="11" fillId="0" fontId="1" numFmtId="0" xfId="0" applyBorder="1" applyFont="1"/>
    <xf borderId="5" fillId="3" fontId="4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vertical="center"/>
    </xf>
    <xf borderId="5" fillId="4" fontId="2" numFmtId="0" xfId="0" applyAlignment="1" applyBorder="1" applyFill="1" applyFont="1">
      <alignment shrinkToFit="0" vertical="center" wrapText="1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cde.state.co.us/cdefinance/sfdetails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5.71"/>
    <col customWidth="1" min="4" max="6" width="16.71"/>
    <col customWidth="1" min="7" max="26" width="8.71"/>
  </cols>
  <sheetData>
    <row r="1" ht="14.25" customHeight="1">
      <c r="A1" s="1"/>
      <c r="B1" s="2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 t="s">
        <v>0</v>
      </c>
      <c r="B2" s="5"/>
      <c r="C2" s="5"/>
      <c r="D2" s="5"/>
      <c r="E2" s="5"/>
      <c r="F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7" t="s">
        <v>1</v>
      </c>
      <c r="B3" s="6"/>
      <c r="C3" s="8">
        <v>0.55</v>
      </c>
      <c r="D3" s="9" t="s">
        <v>2</v>
      </c>
      <c r="E3" s="5"/>
      <c r="F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7" t="s">
        <v>3</v>
      </c>
      <c r="B4" s="6"/>
      <c r="C4" s="10">
        <v>0.17</v>
      </c>
      <c r="D4" s="9" t="s">
        <v>2</v>
      </c>
      <c r="E4" s="5"/>
      <c r="F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7" t="s">
        <v>4</v>
      </c>
      <c r="B5" s="6"/>
      <c r="C5" s="11">
        <v>75.0</v>
      </c>
      <c r="D5" s="9" t="s">
        <v>5</v>
      </c>
      <c r="E5" s="5"/>
      <c r="F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7" t="s">
        <v>6</v>
      </c>
      <c r="B6" s="6"/>
      <c r="C6" s="12">
        <v>22.0</v>
      </c>
      <c r="D6" s="9" t="s">
        <v>7</v>
      </c>
      <c r="E6" s="5"/>
      <c r="F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7" t="s">
        <v>8</v>
      </c>
      <c r="B7" s="6"/>
      <c r="C7" s="10">
        <v>0.3</v>
      </c>
      <c r="D7" s="9" t="s">
        <v>9</v>
      </c>
      <c r="E7" s="5"/>
      <c r="F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7" t="s">
        <v>10</v>
      </c>
      <c r="B8" s="6"/>
      <c r="C8" s="13">
        <v>9000.0</v>
      </c>
      <c r="D8" s="14" t="s">
        <v>11</v>
      </c>
      <c r="E8" s="5"/>
      <c r="F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7" t="s">
        <v>12</v>
      </c>
      <c r="B9" s="6"/>
      <c r="C9" s="10">
        <v>0.03</v>
      </c>
      <c r="D9" s="9" t="s">
        <v>13</v>
      </c>
      <c r="E9" s="5"/>
      <c r="F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7" t="s">
        <v>14</v>
      </c>
      <c r="B10" s="6"/>
      <c r="C10" s="13">
        <v>55000.0</v>
      </c>
      <c r="D10" s="9" t="s">
        <v>15</v>
      </c>
      <c r="E10" s="5"/>
      <c r="F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7" t="s">
        <v>16</v>
      </c>
      <c r="B11" s="6"/>
      <c r="C11" s="13">
        <v>55000.0</v>
      </c>
      <c r="D11" s="9" t="s">
        <v>17</v>
      </c>
      <c r="E11" s="5"/>
      <c r="F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7" t="s">
        <v>18</v>
      </c>
      <c r="B12" s="6"/>
      <c r="C12" s="13">
        <v>100000.0</v>
      </c>
      <c r="D12" s="9" t="s">
        <v>19</v>
      </c>
      <c r="E12" s="5"/>
      <c r="F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7" t="s">
        <v>20</v>
      </c>
      <c r="B13" s="6"/>
      <c r="C13" s="10">
        <v>0.03</v>
      </c>
      <c r="D13" s="9" t="s">
        <v>21</v>
      </c>
      <c r="E13" s="5"/>
      <c r="F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7" t="s">
        <v>22</v>
      </c>
      <c r="B14" s="6"/>
      <c r="C14" s="13">
        <v>400.0</v>
      </c>
      <c r="D14" s="9" t="s">
        <v>23</v>
      </c>
      <c r="E14" s="5"/>
      <c r="F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7" t="s">
        <v>24</v>
      </c>
      <c r="B15" s="6"/>
      <c r="C15" s="13">
        <v>400.0</v>
      </c>
      <c r="D15" s="9" t="s">
        <v>25</v>
      </c>
      <c r="E15" s="5"/>
      <c r="F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7" t="s">
        <v>26</v>
      </c>
      <c r="B16" s="6"/>
      <c r="C16" s="13">
        <v>1000.0</v>
      </c>
      <c r="D16" s="9" t="s">
        <v>27</v>
      </c>
      <c r="E16" s="5"/>
      <c r="F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7" t="s">
        <v>28</v>
      </c>
      <c r="B17" s="6"/>
      <c r="C17" s="13">
        <v>8000.0</v>
      </c>
      <c r="D17" s="9" t="s">
        <v>29</v>
      </c>
      <c r="E17" s="5"/>
      <c r="F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7" t="s">
        <v>30</v>
      </c>
      <c r="B18" s="6"/>
      <c r="C18" s="10">
        <v>0.1</v>
      </c>
      <c r="D18" s="9" t="s">
        <v>31</v>
      </c>
      <c r="E18" s="5"/>
      <c r="F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15"/>
      <c r="B19" s="5"/>
      <c r="C19" s="5"/>
      <c r="D19" s="5"/>
      <c r="E19" s="5"/>
      <c r="F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4.25" customHeight="1">
      <c r="A20" s="16" t="s">
        <v>32</v>
      </c>
      <c r="B20" s="5"/>
      <c r="C20" s="5"/>
      <c r="D20" s="5"/>
      <c r="E20" s="5"/>
      <c r="F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4.25" customHeight="1">
      <c r="A21" s="17"/>
      <c r="B21" s="18" t="s">
        <v>33</v>
      </c>
      <c r="C21" s="18" t="s">
        <v>34</v>
      </c>
      <c r="D21" s="18" t="s">
        <v>35</v>
      </c>
      <c r="E21" s="18" t="s">
        <v>36</v>
      </c>
      <c r="F21" s="18" t="s">
        <v>37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19" t="s">
        <v>38</v>
      </c>
      <c r="B22" s="20">
        <v>5.0</v>
      </c>
      <c r="C22" s="20">
        <v>6.0</v>
      </c>
      <c r="D22" s="20">
        <v>7.0</v>
      </c>
      <c r="E22" s="20">
        <v>8.0</v>
      </c>
      <c r="F22" s="20">
        <v>9.0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19" t="s">
        <v>39</v>
      </c>
      <c r="B23" s="20">
        <v>2.0</v>
      </c>
      <c r="C23" s="20">
        <f t="shared" ref="C23:F23" si="1">B23</f>
        <v>2</v>
      </c>
      <c r="D23" s="20">
        <f t="shared" si="1"/>
        <v>2</v>
      </c>
      <c r="E23" s="20">
        <f t="shared" si="1"/>
        <v>2</v>
      </c>
      <c r="F23" s="20">
        <f t="shared" si="1"/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19" t="s">
        <v>40</v>
      </c>
      <c r="B24" s="20">
        <v>27.0</v>
      </c>
      <c r="C24" s="20">
        <f t="shared" ref="C24:F24" si="2">B24</f>
        <v>27</v>
      </c>
      <c r="D24" s="20">
        <f t="shared" si="2"/>
        <v>27</v>
      </c>
      <c r="E24" s="20">
        <f t="shared" si="2"/>
        <v>27</v>
      </c>
      <c r="F24" s="20">
        <f t="shared" si="2"/>
        <v>27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21" t="s">
        <v>41</v>
      </c>
      <c r="B25" s="20">
        <f t="shared" ref="B25:F25" si="3">B22*B24*B23</f>
        <v>270</v>
      </c>
      <c r="C25" s="20">
        <f t="shared" si="3"/>
        <v>324</v>
      </c>
      <c r="D25" s="20">
        <f t="shared" si="3"/>
        <v>378</v>
      </c>
      <c r="E25" s="20">
        <f t="shared" si="3"/>
        <v>432</v>
      </c>
      <c r="F25" s="20">
        <f t="shared" si="3"/>
        <v>486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21" t="s">
        <v>42</v>
      </c>
      <c r="B26" s="20">
        <f t="shared" ref="B26:F26" si="4">B25*$C$5</f>
        <v>20250</v>
      </c>
      <c r="C26" s="20">
        <f t="shared" si="4"/>
        <v>24300</v>
      </c>
      <c r="D26" s="20">
        <f t="shared" si="4"/>
        <v>28350</v>
      </c>
      <c r="E26" s="20">
        <f t="shared" si="4"/>
        <v>32400</v>
      </c>
      <c r="F26" s="20">
        <f t="shared" si="4"/>
        <v>36450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8.5" customHeight="1">
      <c r="A27" s="22" t="s">
        <v>43</v>
      </c>
      <c r="B27" s="23">
        <f t="shared" ref="B27:F27" si="5">B26*$C$6</f>
        <v>445500</v>
      </c>
      <c r="C27" s="23">
        <f t="shared" si="5"/>
        <v>534600</v>
      </c>
      <c r="D27" s="23">
        <f t="shared" si="5"/>
        <v>623700</v>
      </c>
      <c r="E27" s="23">
        <f t="shared" si="5"/>
        <v>712800</v>
      </c>
      <c r="F27" s="23">
        <f t="shared" si="5"/>
        <v>801900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24"/>
      <c r="B28" s="24"/>
      <c r="C28" s="24"/>
      <c r="D28" s="24"/>
      <c r="E28" s="24"/>
      <c r="F28" s="2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15"/>
      <c r="B29" s="5"/>
      <c r="C29" s="5"/>
      <c r="D29" s="5"/>
      <c r="E29" s="5"/>
      <c r="F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4.25" customHeight="1">
      <c r="A30" s="4" t="s">
        <v>44</v>
      </c>
      <c r="B30" s="5"/>
      <c r="C30" s="5"/>
      <c r="D30" s="5"/>
      <c r="E30" s="5"/>
      <c r="F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4.25" customHeight="1">
      <c r="A31" s="17"/>
      <c r="B31" s="25" t="s">
        <v>33</v>
      </c>
      <c r="C31" s="25" t="s">
        <v>34</v>
      </c>
      <c r="D31" s="25" t="s">
        <v>35</v>
      </c>
      <c r="E31" s="25" t="s">
        <v>36</v>
      </c>
      <c r="F31" s="25" t="s">
        <v>37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4.25" customHeight="1">
      <c r="A32" s="21" t="s">
        <v>45</v>
      </c>
      <c r="B32" s="20">
        <f t="shared" ref="B32:F32" si="6">B22*B23</f>
        <v>10</v>
      </c>
      <c r="C32" s="20">
        <f t="shared" si="6"/>
        <v>12</v>
      </c>
      <c r="D32" s="20">
        <f t="shared" si="6"/>
        <v>14</v>
      </c>
      <c r="E32" s="20">
        <f t="shared" si="6"/>
        <v>16</v>
      </c>
      <c r="F32" s="20">
        <f t="shared" si="6"/>
        <v>18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19" t="s">
        <v>46</v>
      </c>
      <c r="B33" s="20">
        <v>3.0</v>
      </c>
      <c r="C33" s="20">
        <v>3.0</v>
      </c>
      <c r="D33" s="20">
        <v>4.0</v>
      </c>
      <c r="E33" s="20">
        <v>4.0</v>
      </c>
      <c r="F33" s="20">
        <v>5.0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4.25" customHeight="1">
      <c r="A34" s="19" t="s">
        <v>47</v>
      </c>
      <c r="B34" s="20">
        <v>3.0</v>
      </c>
      <c r="C34" s="20">
        <v>3.0</v>
      </c>
      <c r="D34" s="20">
        <v>4.0</v>
      </c>
      <c r="E34" s="20">
        <v>4.0</v>
      </c>
      <c r="F34" s="20">
        <v>5.0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4.25" customHeight="1">
      <c r="A35" s="26" t="s">
        <v>48</v>
      </c>
      <c r="B35" s="27">
        <f t="shared" ref="B35:F35" si="7">B32*$C$10</f>
        <v>550000</v>
      </c>
      <c r="C35" s="27">
        <f t="shared" si="7"/>
        <v>660000</v>
      </c>
      <c r="D35" s="27">
        <f t="shared" si="7"/>
        <v>770000</v>
      </c>
      <c r="E35" s="27">
        <f t="shared" si="7"/>
        <v>880000</v>
      </c>
      <c r="F35" s="27">
        <f t="shared" si="7"/>
        <v>990000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4.25" customHeight="1">
      <c r="A36" s="21" t="s">
        <v>49</v>
      </c>
      <c r="B36" s="27">
        <f t="shared" ref="B36:F36" si="8">B33*$C$11</f>
        <v>165000</v>
      </c>
      <c r="C36" s="27">
        <f t="shared" si="8"/>
        <v>165000</v>
      </c>
      <c r="D36" s="27">
        <f t="shared" si="8"/>
        <v>220000</v>
      </c>
      <c r="E36" s="27">
        <f t="shared" si="8"/>
        <v>220000</v>
      </c>
      <c r="F36" s="27">
        <f t="shared" si="8"/>
        <v>275000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21" t="s">
        <v>50</v>
      </c>
      <c r="B37" s="27">
        <f t="shared" ref="B37:F37" si="9">B34*$C$12</f>
        <v>300000</v>
      </c>
      <c r="C37" s="27">
        <f t="shared" si="9"/>
        <v>300000</v>
      </c>
      <c r="D37" s="27">
        <f t="shared" si="9"/>
        <v>400000</v>
      </c>
      <c r="E37" s="27">
        <f t="shared" si="9"/>
        <v>400000</v>
      </c>
      <c r="F37" s="27">
        <f t="shared" si="9"/>
        <v>500000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4.25" customHeight="1">
      <c r="A38" s="21" t="s">
        <v>51</v>
      </c>
      <c r="B38" s="27">
        <f t="shared" ref="B38:F38" si="10">((B35+B36+B37)*$C$7)+(SUM(B35:B37))</f>
        <v>1319500</v>
      </c>
      <c r="C38" s="27">
        <f t="shared" si="10"/>
        <v>1462500</v>
      </c>
      <c r="D38" s="27">
        <f t="shared" si="10"/>
        <v>1807000</v>
      </c>
      <c r="E38" s="27">
        <f t="shared" si="10"/>
        <v>1950000</v>
      </c>
      <c r="F38" s="27">
        <f t="shared" si="10"/>
        <v>2294500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15"/>
      <c r="B39" s="5"/>
      <c r="C39" s="5"/>
      <c r="D39" s="5"/>
      <c r="E39" s="5"/>
      <c r="F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4" t="s">
        <v>52</v>
      </c>
      <c r="B40" s="5"/>
      <c r="C40" s="5"/>
      <c r="D40" s="5"/>
      <c r="E40" s="5"/>
      <c r="F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17"/>
      <c r="B41" s="18" t="s">
        <v>33</v>
      </c>
      <c r="C41" s="18" t="s">
        <v>34</v>
      </c>
      <c r="D41" s="18" t="s">
        <v>35</v>
      </c>
      <c r="E41" s="18" t="s">
        <v>36</v>
      </c>
      <c r="F41" s="18" t="s">
        <v>37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21" t="s">
        <v>53</v>
      </c>
      <c r="B42" s="29"/>
      <c r="C42" s="5"/>
      <c r="D42" s="5"/>
      <c r="E42" s="5"/>
      <c r="F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0" t="s">
        <v>54</v>
      </c>
      <c r="B43" s="27">
        <f t="shared" ref="B43:F43" si="11">$C$9*$C$8*B25</f>
        <v>72900</v>
      </c>
      <c r="C43" s="27">
        <f t="shared" si="11"/>
        <v>87480</v>
      </c>
      <c r="D43" s="27">
        <f t="shared" si="11"/>
        <v>102060</v>
      </c>
      <c r="E43" s="27">
        <f t="shared" si="11"/>
        <v>116640</v>
      </c>
      <c r="F43" s="27">
        <f t="shared" si="11"/>
        <v>131220</v>
      </c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2" t="s">
        <v>55</v>
      </c>
      <c r="B44" s="27"/>
      <c r="C44" s="27"/>
      <c r="D44" s="27"/>
      <c r="E44" s="27"/>
      <c r="F44" s="27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0" t="s">
        <v>56</v>
      </c>
      <c r="B45" s="27">
        <f t="shared" ref="B45:F45" si="12">$C$8*B25</f>
        <v>2430000</v>
      </c>
      <c r="C45" s="27">
        <f t="shared" si="12"/>
        <v>2916000</v>
      </c>
      <c r="D45" s="27">
        <f t="shared" si="12"/>
        <v>3402000</v>
      </c>
      <c r="E45" s="27">
        <f t="shared" si="12"/>
        <v>3888000</v>
      </c>
      <c r="F45" s="27">
        <f t="shared" si="12"/>
        <v>4374000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0" t="s">
        <v>57</v>
      </c>
      <c r="B46" s="27">
        <f>SUM(B43:B45)</f>
        <v>2502900</v>
      </c>
      <c r="C46" s="27">
        <f t="shared" ref="C46:F46" si="13">C43+C45</f>
        <v>3003480</v>
      </c>
      <c r="D46" s="27">
        <f t="shared" si="13"/>
        <v>3504060</v>
      </c>
      <c r="E46" s="27">
        <f t="shared" si="13"/>
        <v>4004640</v>
      </c>
      <c r="F46" s="27">
        <f t="shared" si="13"/>
        <v>4505220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3"/>
      <c r="B47" s="34"/>
      <c r="C47" s="34"/>
      <c r="D47" s="34"/>
      <c r="E47" s="34"/>
      <c r="F47" s="3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6" t="s">
        <v>58</v>
      </c>
      <c r="B48" s="37"/>
      <c r="C48" s="25"/>
      <c r="D48" s="25"/>
      <c r="E48" s="25"/>
      <c r="F48" s="2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0" t="s">
        <v>59</v>
      </c>
      <c r="B49" s="27">
        <f t="shared" ref="B49:F49" si="14">B38</f>
        <v>1319500</v>
      </c>
      <c r="C49" s="27">
        <f t="shared" si="14"/>
        <v>1462500</v>
      </c>
      <c r="D49" s="27">
        <f t="shared" si="14"/>
        <v>1807000</v>
      </c>
      <c r="E49" s="27">
        <f t="shared" si="14"/>
        <v>1950000</v>
      </c>
      <c r="F49" s="27">
        <f t="shared" si="14"/>
        <v>2294500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2" t="s">
        <v>60</v>
      </c>
      <c r="B50" s="27"/>
      <c r="C50" s="27"/>
      <c r="D50" s="27"/>
      <c r="E50" s="27"/>
      <c r="F50" s="2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0" t="s">
        <v>61</v>
      </c>
      <c r="B51" s="27">
        <f t="shared" ref="B51:F51" si="15">B27</f>
        <v>445500</v>
      </c>
      <c r="C51" s="27">
        <f t="shared" si="15"/>
        <v>534600</v>
      </c>
      <c r="D51" s="27">
        <f t="shared" si="15"/>
        <v>623700</v>
      </c>
      <c r="E51" s="27">
        <f t="shared" si="15"/>
        <v>712800</v>
      </c>
      <c r="F51" s="27">
        <f t="shared" si="15"/>
        <v>801900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0" t="s">
        <v>62</v>
      </c>
      <c r="B52" s="27">
        <f t="shared" ref="B52:F52" si="16">IF((B46*$C$4)&lt;B51,0,((B46*$C$4)-B51))</f>
        <v>0</v>
      </c>
      <c r="C52" s="27">
        <f t="shared" si="16"/>
        <v>0</v>
      </c>
      <c r="D52" s="27">
        <f t="shared" si="16"/>
        <v>0</v>
      </c>
      <c r="E52" s="27">
        <f t="shared" si="16"/>
        <v>0</v>
      </c>
      <c r="F52" s="27">
        <f t="shared" si="16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0" t="s">
        <v>20</v>
      </c>
      <c r="B53" s="27">
        <f t="shared" ref="B53:F53" si="17">$C$13*B45</f>
        <v>72900</v>
      </c>
      <c r="C53" s="27">
        <f t="shared" si="17"/>
        <v>87480</v>
      </c>
      <c r="D53" s="27">
        <f t="shared" si="17"/>
        <v>102060</v>
      </c>
      <c r="E53" s="27">
        <f t="shared" si="17"/>
        <v>116640</v>
      </c>
      <c r="F53" s="27">
        <f t="shared" si="17"/>
        <v>131220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2" t="s">
        <v>63</v>
      </c>
      <c r="B54" s="27"/>
      <c r="C54" s="27"/>
      <c r="D54" s="27"/>
      <c r="E54" s="27"/>
      <c r="F54" s="2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0" t="s">
        <v>22</v>
      </c>
      <c r="B55" s="27">
        <f t="shared" ref="B55:F55" si="18">$C$14*B$25</f>
        <v>108000</v>
      </c>
      <c r="C55" s="27">
        <f t="shared" si="18"/>
        <v>129600</v>
      </c>
      <c r="D55" s="27">
        <f t="shared" si="18"/>
        <v>151200</v>
      </c>
      <c r="E55" s="27">
        <f t="shared" si="18"/>
        <v>172800</v>
      </c>
      <c r="F55" s="27">
        <f t="shared" si="18"/>
        <v>194400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2" t="s">
        <v>64</v>
      </c>
      <c r="B56" s="27"/>
      <c r="C56" s="27"/>
      <c r="D56" s="27"/>
      <c r="E56" s="27"/>
      <c r="F56" s="2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0" t="s">
        <v>65</v>
      </c>
      <c r="B57" s="27">
        <f>(($C$15*B$25)+($C$16*(SUM(B$32:B$34)))+($C$17*(SUM(B$32:B$33))))</f>
        <v>228000</v>
      </c>
      <c r="C57" s="27">
        <f t="shared" ref="C57:F57" si="19">(($C$15*C$25)+($C$16*(SUM(C$32:C$34)))+($C$17*(SUM(C$32:C$34))))*0.25</f>
        <v>72900</v>
      </c>
      <c r="D57" s="27">
        <f t="shared" si="19"/>
        <v>87300</v>
      </c>
      <c r="E57" s="27">
        <f t="shared" si="19"/>
        <v>97200</v>
      </c>
      <c r="F57" s="27">
        <f t="shared" si="19"/>
        <v>111600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2" t="s">
        <v>66</v>
      </c>
      <c r="B58" s="27"/>
      <c r="C58" s="27"/>
      <c r="D58" s="27"/>
      <c r="E58" s="27"/>
      <c r="F58" s="2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2" t="s">
        <v>67</v>
      </c>
      <c r="B59" s="27"/>
      <c r="C59" s="27"/>
      <c r="D59" s="27"/>
      <c r="E59" s="27"/>
      <c r="F59" s="2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2" t="s">
        <v>30</v>
      </c>
      <c r="B60" s="27">
        <f t="shared" ref="B60:F60" si="20">(B45*$C$18)</f>
        <v>243000</v>
      </c>
      <c r="C60" s="27">
        <f t="shared" si="20"/>
        <v>291600</v>
      </c>
      <c r="D60" s="27">
        <f t="shared" si="20"/>
        <v>340200</v>
      </c>
      <c r="E60" s="27">
        <f t="shared" si="20"/>
        <v>388800</v>
      </c>
      <c r="F60" s="27">
        <f t="shared" si="20"/>
        <v>437400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0" t="s">
        <v>68</v>
      </c>
      <c r="B61" s="27">
        <f t="shared" ref="B61:F61" si="21">0.03*B46</f>
        <v>75087</v>
      </c>
      <c r="C61" s="27">
        <f t="shared" si="21"/>
        <v>90104.4</v>
      </c>
      <c r="D61" s="27">
        <f t="shared" si="21"/>
        <v>105121.8</v>
      </c>
      <c r="E61" s="27">
        <f t="shared" si="21"/>
        <v>120139.2</v>
      </c>
      <c r="F61" s="27">
        <f t="shared" si="21"/>
        <v>135156.6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8" t="s">
        <v>69</v>
      </c>
      <c r="B62" s="13">
        <f t="shared" ref="B62:F62" si="22">B46-SUM(B49:B61)</f>
        <v>10913</v>
      </c>
      <c r="C62" s="13">
        <f t="shared" si="22"/>
        <v>334695.6</v>
      </c>
      <c r="D62" s="13">
        <f t="shared" si="22"/>
        <v>287478.2</v>
      </c>
      <c r="E62" s="13">
        <f t="shared" si="22"/>
        <v>446260.8</v>
      </c>
      <c r="F62" s="13">
        <f t="shared" si="22"/>
        <v>399043.4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2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2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2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2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2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2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2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2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2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2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2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2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2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28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2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2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2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2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28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2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28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2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28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2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28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2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28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2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28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28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8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2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2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28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28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2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28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2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28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2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2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2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2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2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28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2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28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28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28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28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28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2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28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2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28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28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2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2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28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2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28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2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2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28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28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28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28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28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28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2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28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2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28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28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2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2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28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2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28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28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28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28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28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28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28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2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2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2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28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28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28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28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28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2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28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28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28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28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28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28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28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28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28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2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28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2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28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28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28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28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28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2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28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28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28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28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28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28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28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28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28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28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28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28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28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28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28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28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28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28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2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28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2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2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28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28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2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28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28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28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28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28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28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28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28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28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28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28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28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28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28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28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28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28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28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28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28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28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28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28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28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28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28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28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28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28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8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28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28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28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28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28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28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28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28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28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28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28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28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28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28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28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2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28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28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28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28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28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28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28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28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28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28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28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28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28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28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28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28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28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28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28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28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28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28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28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28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28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28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28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28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28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28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28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28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28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28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2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2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2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2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2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2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2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2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2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2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2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2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2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2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28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28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28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28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28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28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28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28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28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28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28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28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28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28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28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28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28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28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28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28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28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28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28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28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28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28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28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28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28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28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28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28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28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28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28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28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28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28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28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28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28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28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28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28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28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28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28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28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28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28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28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28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28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28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28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28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28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28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28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28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28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28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28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28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28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28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28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28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28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28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28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28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28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28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28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28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28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28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28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28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28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28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28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28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28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28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28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28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28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28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28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28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28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28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28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28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28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28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28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28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28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28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28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28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28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28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28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28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28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28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28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28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28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28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28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28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28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28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28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28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28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28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28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28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28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28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28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28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28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28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28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28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28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28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28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28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28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28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28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28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28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28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28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28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28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28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28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28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28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28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28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28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28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28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28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28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28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28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28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28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28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28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28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28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28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28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28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28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28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28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28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28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28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28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28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28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28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28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28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28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28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28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28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28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28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28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28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28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28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28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28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28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28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28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28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28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28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28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28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28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28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28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28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28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28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28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28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28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28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28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28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28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28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28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28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28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28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28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28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28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28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28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28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28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28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28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28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28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28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28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28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28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28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28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28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28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28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28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28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28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28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28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28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28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28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28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28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28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28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28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28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28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28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28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28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28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28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28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28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28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28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28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28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28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28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28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28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28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28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28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28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28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28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28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28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28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28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28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28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28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28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28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28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28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28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28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28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28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28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28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28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28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28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28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28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28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28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28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28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28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28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28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28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28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28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28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28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28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28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28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28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28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28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28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28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28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28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28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28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28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28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28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28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28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28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28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28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28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28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28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28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28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28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28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28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28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28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28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28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28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28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28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28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28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28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28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28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28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28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28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28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28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28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28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28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28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28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28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28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28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28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28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28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28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28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28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28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28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28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28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28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28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28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28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28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28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28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28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28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28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28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28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28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28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28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28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28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28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28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28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28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28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28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28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28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28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28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28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28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28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28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28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28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28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28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28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28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28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28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28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28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28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28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28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28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28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28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28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28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28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28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28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28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28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28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28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28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28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28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28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28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28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28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28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28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28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28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28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28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28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28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28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28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28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28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28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28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28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28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28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28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28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28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28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28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28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28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28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28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28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28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28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28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28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28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28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28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28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28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28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28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28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28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28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28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28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28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28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28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28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28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28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28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28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28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28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28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28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28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28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28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28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28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28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28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28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28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28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28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28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28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28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28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28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28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28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28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28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28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28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28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28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28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28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28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28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28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28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28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28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28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28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28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28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28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28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28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28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28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28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28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28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28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28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28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28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28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28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28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28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28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28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28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28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28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28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28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28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28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28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28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28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28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28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28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28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28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28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28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28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28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28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28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28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28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28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28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28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28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28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28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28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28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28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28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28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28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28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28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28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28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28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28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28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28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28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28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28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28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28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28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28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28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28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28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28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28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28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28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28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28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28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28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28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28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28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28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28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28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28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28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28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28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28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28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28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28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28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28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28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28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28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28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28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28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28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28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28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28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28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28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28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28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28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28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28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28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28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28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28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28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28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28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28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28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28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28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28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28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28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28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28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28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28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28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28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28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28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28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28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28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28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28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28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28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28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28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28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28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28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28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28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28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28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28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28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28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28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28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28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28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28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28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28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28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28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28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28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28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28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28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28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28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28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28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28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28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28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28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28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28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28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28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28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28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28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8">
    <mergeCell ref="A1:F1"/>
    <mergeCell ref="A2:F2"/>
    <mergeCell ref="A3:B3"/>
    <mergeCell ref="D3:F3"/>
    <mergeCell ref="A4:B4"/>
    <mergeCell ref="D4:F4"/>
    <mergeCell ref="D5:F5"/>
    <mergeCell ref="A5:B5"/>
    <mergeCell ref="A6:B6"/>
    <mergeCell ref="A7:B7"/>
    <mergeCell ref="A8:B8"/>
    <mergeCell ref="A9:B9"/>
    <mergeCell ref="A10:B10"/>
    <mergeCell ref="A11:B11"/>
    <mergeCell ref="D13:F13"/>
    <mergeCell ref="D14:F14"/>
    <mergeCell ref="D15:F15"/>
    <mergeCell ref="D16:F16"/>
    <mergeCell ref="D17:F17"/>
    <mergeCell ref="D18:F18"/>
    <mergeCell ref="A19:F19"/>
    <mergeCell ref="A20:F20"/>
    <mergeCell ref="D6:F6"/>
    <mergeCell ref="D7:F7"/>
    <mergeCell ref="D8:F8"/>
    <mergeCell ref="D9:F9"/>
    <mergeCell ref="D10:F10"/>
    <mergeCell ref="D11:F11"/>
    <mergeCell ref="D12:F12"/>
    <mergeCell ref="A12:B12"/>
    <mergeCell ref="A13:B13"/>
    <mergeCell ref="A14:B14"/>
    <mergeCell ref="A15:B15"/>
    <mergeCell ref="A16:B16"/>
    <mergeCell ref="A17:B17"/>
    <mergeCell ref="A18:B18"/>
    <mergeCell ref="A30:F30"/>
    <mergeCell ref="A39:F39"/>
    <mergeCell ref="A40:F40"/>
    <mergeCell ref="B42:F42"/>
    <mergeCell ref="A47:F47"/>
    <mergeCell ref="A27:A28"/>
    <mergeCell ref="B27:B28"/>
    <mergeCell ref="C27:C28"/>
    <mergeCell ref="D27:D28"/>
    <mergeCell ref="E27:E28"/>
    <mergeCell ref="F27:F28"/>
    <mergeCell ref="A29:F29"/>
  </mergeCells>
  <conditionalFormatting sqref="B49">
    <cfRule type="cellIs" dxfId="0" priority="1" operator="greaterThan">
      <formula>B46*$C$3</formula>
    </cfRule>
  </conditionalFormatting>
  <conditionalFormatting sqref="C49">
    <cfRule type="cellIs" dxfId="0" priority="2" operator="greaterThan">
      <formula>C46*$C$3</formula>
    </cfRule>
  </conditionalFormatting>
  <conditionalFormatting sqref="F49">
    <cfRule type="cellIs" dxfId="0" priority="3" operator="greaterThan">
      <formula>F46*$C$3</formula>
    </cfRule>
  </conditionalFormatting>
  <conditionalFormatting sqref="D49">
    <cfRule type="cellIs" dxfId="0" priority="4" operator="greaterThan">
      <formula>D46*$C$3</formula>
    </cfRule>
  </conditionalFormatting>
  <conditionalFormatting sqref="E49">
    <cfRule type="cellIs" dxfId="0" priority="5" operator="greaterThan">
      <formula>E46*$C$3</formula>
    </cfRule>
  </conditionalFormatting>
  <conditionalFormatting sqref="B38">
    <cfRule type="expression" dxfId="1" priority="6">
      <formula>"(b38/b46)&gt;$c$3"</formula>
    </cfRule>
  </conditionalFormatting>
  <hyperlinks>
    <hyperlink r:id="rId2" ref="D8"/>
  </hyperlinks>
  <printOptions/>
  <pageMargins bottom="0.75" footer="0.0" header="0.0" left="0.7" right="0.7" top="0.75"/>
  <pageSetup orientation="portrait"/>
  <rowBreaks count="1" manualBreakCount="1">
    <brk id="38" man="1"/>
  </rowBreaks>
  <drawing r:id="rId3"/>
  <legacy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2021-06-22T11:10:07Z</dcterms:created>
  <dc:creator>Chris Scott</dc:creator>
</cp:coreProperties>
</file>