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F32" lockStructure="1"/>
  <bookViews>
    <workbookView xWindow="120" yWindow="240" windowWidth="16485" windowHeight="9195" tabRatio="793"/>
  </bookViews>
  <sheets>
    <sheet name="SUMMARY OF FORMULA GRANT" sheetId="7" r:id="rId1"/>
    <sheet name="NCLB Title I-A Formula" sheetId="1" r:id="rId2"/>
    <sheet name="NCLB Title I-C Migrant" sheetId="8" r:id="rId3"/>
    <sheet name="NCLB Title I-Delinquent" sheetId="10" r:id="rId4"/>
    <sheet name="StateAgenciesTitle I-Delinquent" sheetId="11" r:id="rId5"/>
    <sheet name="NCLB Title II-A Formula" sheetId="14" r:id="rId6"/>
    <sheet name="NCLB Title III-A " sheetId="3" r:id="rId7"/>
    <sheet name="NCLB Title III SAI" sheetId="4" r:id="rId8"/>
    <sheet name="TITLE VI RURAL LI" sheetId="5" r:id="rId9"/>
  </sheets>
  <definedNames>
    <definedName name="_xlnm._FilterDatabase" localSheetId="1" hidden="1">'NCLB Title I-A Formula'!$A$12:$AM$197</definedName>
  </definedNames>
  <calcPr calcId="145621"/>
</workbook>
</file>

<file path=xl/calcChain.xml><?xml version="1.0" encoding="utf-8"?>
<calcChain xmlns="http://schemas.openxmlformats.org/spreadsheetml/2006/main">
  <c r="P90" i="14" l="1"/>
  <c r="N90" i="14"/>
  <c r="M90" i="14"/>
  <c r="X90" i="14" l="1"/>
  <c r="F14" i="4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13" i="4"/>
  <c r="AI203" i="4" l="1"/>
  <c r="AJ203" i="4" l="1"/>
  <c r="R11" i="11" l="1"/>
  <c r="N11" i="11"/>
  <c r="AE31" i="14"/>
  <c r="W149" i="14"/>
  <c r="AC195" i="14" l="1"/>
  <c r="AC46" i="14"/>
  <c r="AB99" i="3" l="1"/>
  <c r="Z24" i="4" l="1"/>
  <c r="Z24" i="3"/>
  <c r="Z195" i="14"/>
  <c r="Z46" i="14"/>
  <c r="Z24" i="1"/>
  <c r="X90" i="1" l="1"/>
  <c r="Y13" i="14" l="1"/>
  <c r="W11" i="11" l="1"/>
  <c r="Y90" i="1" l="1"/>
  <c r="Y154" i="14" l="1"/>
  <c r="X90" i="3" l="1"/>
  <c r="X37" i="14"/>
  <c r="V100" i="10" l="1"/>
  <c r="X102" i="3" l="1"/>
  <c r="X102" i="14" l="1"/>
  <c r="X46" i="14"/>
  <c r="X102" i="1" l="1"/>
  <c r="X132" i="1"/>
  <c r="W79" i="1"/>
  <c r="W79" i="14" l="1"/>
  <c r="V80" i="1" l="1"/>
  <c r="W187" i="1" l="1"/>
  <c r="W187" i="3" l="1"/>
  <c r="T192" i="8" l="1"/>
  <c r="V191" i="1" l="1"/>
  <c r="V20" i="14" l="1"/>
  <c r="V38" i="1" l="1"/>
  <c r="V20" i="1"/>
  <c r="S76" i="5" l="1"/>
  <c r="U43" i="14" l="1"/>
  <c r="S40" i="14" l="1"/>
  <c r="L119" i="1" l="1"/>
  <c r="T191" i="1" l="1"/>
  <c r="S14" i="4"/>
  <c r="S16" i="3"/>
  <c r="S14" i="3"/>
  <c r="S16" i="14"/>
  <c r="S14" i="14"/>
  <c r="S40" i="1"/>
  <c r="S16" i="1"/>
  <c r="S14" i="1"/>
  <c r="S65" i="4"/>
  <c r="S65" i="3"/>
  <c r="S62" i="3"/>
  <c r="S27" i="3"/>
  <c r="S20" i="3"/>
  <c r="S65" i="14"/>
  <c r="S62" i="14"/>
  <c r="S27" i="14"/>
  <c r="S20" i="14"/>
  <c r="Q63" i="10"/>
  <c r="Q25" i="10"/>
  <c r="Q18" i="10"/>
  <c r="Q25" i="8"/>
  <c r="S65" i="1"/>
  <c r="S62" i="1"/>
  <c r="S27" i="1"/>
  <c r="S20" i="1"/>
  <c r="S120" i="3"/>
  <c r="S103" i="3"/>
  <c r="S180" i="14"/>
  <c r="S120" i="14"/>
  <c r="S103" i="14"/>
  <c r="S120" i="1"/>
  <c r="S103" i="1"/>
  <c r="S180" i="3"/>
  <c r="S180" i="1"/>
  <c r="Q128" i="5"/>
  <c r="S187" i="3"/>
  <c r="S126" i="3"/>
  <c r="S187" i="14"/>
  <c r="S154" i="14"/>
  <c r="S47" i="14"/>
  <c r="S187" i="1"/>
  <c r="S154" i="1"/>
  <c r="S126" i="1"/>
  <c r="S47" i="1"/>
  <c r="S191" i="1"/>
  <c r="S146" i="14"/>
  <c r="S58" i="14"/>
  <c r="S146" i="1"/>
  <c r="S58" i="1" l="1"/>
  <c r="S22" i="3"/>
  <c r="S13" i="3"/>
  <c r="S32" i="14"/>
  <c r="S105" i="14"/>
  <c r="S22" i="14"/>
  <c r="S13" i="14"/>
  <c r="S119" i="1"/>
  <c r="S105" i="1"/>
  <c r="S32" i="1"/>
  <c r="S22" i="1"/>
  <c r="S13" i="1"/>
  <c r="S138" i="1"/>
  <c r="S139" i="14"/>
  <c r="S56" i="14"/>
  <c r="S64" i="1"/>
  <c r="S56" i="1"/>
  <c r="P194" i="8"/>
  <c r="R132" i="1"/>
  <c r="R74" i="1"/>
  <c r="Q139" i="1"/>
  <c r="Q119" i="1"/>
  <c r="Q187" i="3"/>
  <c r="Q203" i="3" s="1"/>
  <c r="Q187" i="1"/>
  <c r="P90" i="3"/>
  <c r="P203" i="3" s="1"/>
  <c r="P90" i="1"/>
  <c r="N97" i="10"/>
  <c r="C201" i="4"/>
  <c r="C200" i="4"/>
  <c r="C199" i="4"/>
  <c r="C198" i="4"/>
  <c r="C197" i="4"/>
  <c r="G197" i="4" s="1"/>
  <c r="C196" i="4"/>
  <c r="G196" i="4" s="1"/>
  <c r="C195" i="4"/>
  <c r="C194" i="4"/>
  <c r="C193" i="4"/>
  <c r="H203" i="3"/>
  <c r="I203" i="3"/>
  <c r="J203" i="3"/>
  <c r="K203" i="3"/>
  <c r="M203" i="3"/>
  <c r="O203" i="3"/>
  <c r="R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O29" i="1"/>
  <c r="N119" i="1"/>
  <c r="N126" i="3"/>
  <c r="N24" i="3"/>
  <c r="N24" i="14"/>
  <c r="N15" i="14"/>
  <c r="N132" i="1"/>
  <c r="N15" i="1"/>
  <c r="N203" i="3" l="1"/>
  <c r="S203" i="3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25" i="8"/>
  <c r="U199" i="8"/>
  <c r="V199" i="8"/>
  <c r="W199" i="8"/>
  <c r="X199" i="8"/>
  <c r="Y199" i="8"/>
  <c r="Z199" i="8"/>
  <c r="AA199" i="8"/>
  <c r="AB199" i="8"/>
  <c r="AC199" i="8"/>
  <c r="AD199" i="8"/>
  <c r="AE199" i="8"/>
  <c r="AF199" i="8"/>
  <c r="E17" i="3"/>
  <c r="E18" i="3"/>
  <c r="E21" i="3"/>
  <c r="E26" i="3"/>
  <c r="E28" i="3"/>
  <c r="E29" i="3"/>
  <c r="E30" i="3"/>
  <c r="E32" i="3"/>
  <c r="E35" i="3"/>
  <c r="E36" i="3"/>
  <c r="E40" i="3"/>
  <c r="E42" i="3"/>
  <c r="E45" i="3"/>
  <c r="E46" i="3"/>
  <c r="E47" i="3"/>
  <c r="E48" i="3"/>
  <c r="E49" i="3"/>
  <c r="E56" i="3"/>
  <c r="E57" i="3"/>
  <c r="E69" i="3"/>
  <c r="E70" i="3"/>
  <c r="E71" i="3"/>
  <c r="E76" i="3"/>
  <c r="E77" i="3"/>
  <c r="E83" i="3"/>
  <c r="E84" i="3"/>
  <c r="E85" i="3"/>
  <c r="E87" i="3"/>
  <c r="E88" i="3"/>
  <c r="E89" i="3"/>
  <c r="E94" i="3"/>
  <c r="E95" i="3"/>
  <c r="E96" i="3"/>
  <c r="E97" i="3"/>
  <c r="E100" i="3"/>
  <c r="E101" i="3"/>
  <c r="E104" i="3"/>
  <c r="E105" i="3"/>
  <c r="E106" i="3"/>
  <c r="E107" i="3"/>
  <c r="E108" i="3"/>
  <c r="E109" i="3"/>
  <c r="E112" i="3"/>
  <c r="E114" i="3"/>
  <c r="E124" i="3"/>
  <c r="E127" i="3"/>
  <c r="C196" i="3" s="1"/>
  <c r="E128" i="3"/>
  <c r="E130" i="3"/>
  <c r="E131" i="3"/>
  <c r="E132" i="3"/>
  <c r="E133" i="3"/>
  <c r="G133" i="3" s="1"/>
  <c r="E134" i="3"/>
  <c r="E135" i="3"/>
  <c r="E142" i="3"/>
  <c r="E145" i="3"/>
  <c r="E146" i="3"/>
  <c r="E147" i="3"/>
  <c r="E148" i="3"/>
  <c r="E151" i="3"/>
  <c r="E153" i="3"/>
  <c r="E154" i="3"/>
  <c r="E155" i="3"/>
  <c r="E156" i="3"/>
  <c r="E157" i="3"/>
  <c r="E158" i="3"/>
  <c r="E162" i="3"/>
  <c r="E163" i="3"/>
  <c r="E169" i="3"/>
  <c r="C66" i="3" s="1"/>
  <c r="E171" i="3"/>
  <c r="E174" i="3"/>
  <c r="E175" i="3"/>
  <c r="E176" i="3"/>
  <c r="E178" i="3"/>
  <c r="E181" i="3"/>
  <c r="E183" i="3"/>
  <c r="E185" i="3"/>
  <c r="E188" i="3"/>
  <c r="E189" i="3"/>
  <c r="E190" i="3"/>
  <c r="C201" i="3"/>
  <c r="E26" i="14"/>
  <c r="E28" i="14"/>
  <c r="E42" i="14"/>
  <c r="E57" i="14"/>
  <c r="E89" i="14"/>
  <c r="E93" i="14"/>
  <c r="E94" i="14"/>
  <c r="E95" i="14"/>
  <c r="E97" i="14"/>
  <c r="E111" i="14"/>
  <c r="E112" i="14"/>
  <c r="E113" i="14"/>
  <c r="E115" i="14"/>
  <c r="E117" i="14"/>
  <c r="E128" i="14"/>
  <c r="E130" i="14"/>
  <c r="E131" i="14"/>
  <c r="E143" i="14"/>
  <c r="E156" i="14"/>
  <c r="E158" i="14"/>
  <c r="E165" i="14"/>
  <c r="E166" i="14"/>
  <c r="E171" i="14"/>
  <c r="E172" i="14"/>
  <c r="E173" i="14"/>
  <c r="E174" i="14"/>
  <c r="E175" i="14"/>
  <c r="E181" i="14"/>
  <c r="E184" i="14"/>
  <c r="E185" i="14"/>
  <c r="E186" i="14"/>
  <c r="E189" i="14"/>
  <c r="E190" i="14"/>
  <c r="E17" i="14"/>
  <c r="E18" i="14"/>
  <c r="C197" i="1"/>
  <c r="E17" i="1"/>
  <c r="E18" i="1"/>
  <c r="E26" i="1"/>
  <c r="E28" i="1"/>
  <c r="E42" i="1"/>
  <c r="E57" i="1"/>
  <c r="E89" i="1"/>
  <c r="E93" i="1"/>
  <c r="E94" i="1"/>
  <c r="E95" i="1"/>
  <c r="E96" i="1"/>
  <c r="E97" i="1"/>
  <c r="E111" i="1"/>
  <c r="E112" i="1"/>
  <c r="E113" i="1"/>
  <c r="E115" i="1"/>
  <c r="E116" i="1"/>
  <c r="E117" i="1"/>
  <c r="E128" i="1"/>
  <c r="E130" i="1"/>
  <c r="E131" i="1"/>
  <c r="E143" i="1"/>
  <c r="E156" i="1"/>
  <c r="E158" i="1"/>
  <c r="E165" i="1"/>
  <c r="E166" i="1"/>
  <c r="E170" i="1"/>
  <c r="E171" i="1"/>
  <c r="E172" i="1"/>
  <c r="E174" i="1"/>
  <c r="E175" i="1"/>
  <c r="E181" i="1"/>
  <c r="E184" i="1"/>
  <c r="E185" i="1"/>
  <c r="E186" i="1"/>
  <c r="E189" i="1"/>
  <c r="C197" i="14"/>
  <c r="C126" i="3" l="1"/>
  <c r="C54" i="3"/>
  <c r="E203" i="3"/>
  <c r="C99" i="3"/>
  <c r="C195" i="14"/>
  <c r="C196" i="14"/>
  <c r="C195" i="1"/>
  <c r="C194" i="3"/>
  <c r="C196" i="1"/>
  <c r="C193" i="1"/>
  <c r="C194" i="1"/>
  <c r="C194" i="14"/>
  <c r="C193" i="14"/>
  <c r="C200" i="3"/>
  <c r="C199" i="3"/>
  <c r="C198" i="3"/>
  <c r="C195" i="3"/>
  <c r="C197" i="3"/>
  <c r="C193" i="3"/>
  <c r="M134" i="14"/>
  <c r="M114" i="1"/>
  <c r="L146" i="14"/>
  <c r="L19" i="3"/>
  <c r="L203" i="3" s="1"/>
  <c r="L38" i="14"/>
  <c r="L38" i="1"/>
  <c r="D195" i="5"/>
  <c r="E195" i="5" s="1"/>
  <c r="D88" i="5"/>
  <c r="E88" i="5" s="1"/>
  <c r="D87" i="5"/>
  <c r="E87" i="5" s="1"/>
  <c r="L199" i="14" l="1"/>
  <c r="F189" i="7"/>
  <c r="F191" i="7"/>
  <c r="F192" i="7"/>
  <c r="V199" i="14" l="1"/>
  <c r="AH199" i="14"/>
  <c r="AG199" i="14"/>
  <c r="AF199" i="14"/>
  <c r="AE199" i="14"/>
  <c r="AD199" i="14"/>
  <c r="AC199" i="14"/>
  <c r="AB199" i="14"/>
  <c r="AA199" i="14"/>
  <c r="Z199" i="14"/>
  <c r="Y199" i="14"/>
  <c r="X199" i="14"/>
  <c r="W199" i="14"/>
  <c r="U199" i="14"/>
  <c r="T199" i="14"/>
  <c r="N199" i="14"/>
  <c r="M199" i="14"/>
  <c r="K199" i="14"/>
  <c r="J199" i="14"/>
  <c r="I199" i="14"/>
  <c r="H199" i="14"/>
  <c r="D199" i="14"/>
  <c r="F197" i="14"/>
  <c r="G197" i="14" s="1"/>
  <c r="F188" i="7" s="1"/>
  <c r="F196" i="14"/>
  <c r="F195" i="14"/>
  <c r="F194" i="14"/>
  <c r="F193" i="14"/>
  <c r="F192" i="14"/>
  <c r="G192" i="14" s="1"/>
  <c r="F183" i="7" s="1"/>
  <c r="F191" i="14"/>
  <c r="G191" i="14" s="1"/>
  <c r="F182" i="7" s="1"/>
  <c r="F190" i="14"/>
  <c r="G190" i="14" s="1"/>
  <c r="F181" i="7" s="1"/>
  <c r="F189" i="14"/>
  <c r="G189" i="14"/>
  <c r="F180" i="7" s="1"/>
  <c r="F188" i="14"/>
  <c r="G188" i="14" s="1"/>
  <c r="F179" i="7" s="1"/>
  <c r="F187" i="14"/>
  <c r="G187" i="14" s="1"/>
  <c r="F178" i="7" s="1"/>
  <c r="F186" i="14"/>
  <c r="G186" i="14"/>
  <c r="F177" i="7" s="1"/>
  <c r="F185" i="14"/>
  <c r="G185" i="14" s="1"/>
  <c r="F176" i="7" s="1"/>
  <c r="F184" i="14"/>
  <c r="G184" i="14"/>
  <c r="F175" i="7" s="1"/>
  <c r="F183" i="14"/>
  <c r="G183" i="14" s="1"/>
  <c r="F174" i="7" s="1"/>
  <c r="F182" i="14"/>
  <c r="G182" i="14" s="1"/>
  <c r="F173" i="7" s="1"/>
  <c r="F181" i="14"/>
  <c r="G181" i="14" s="1"/>
  <c r="F172" i="7" s="1"/>
  <c r="F180" i="14"/>
  <c r="G180" i="14" s="1"/>
  <c r="F171" i="7" s="1"/>
  <c r="F179" i="14"/>
  <c r="G179" i="14" s="1"/>
  <c r="F170" i="7" s="1"/>
  <c r="F178" i="14"/>
  <c r="G178" i="14" s="1"/>
  <c r="F169" i="7" s="1"/>
  <c r="F177" i="14"/>
  <c r="G177" i="14" s="1"/>
  <c r="F168" i="7" s="1"/>
  <c r="F176" i="14"/>
  <c r="G176" i="14" s="1"/>
  <c r="F167" i="7" s="1"/>
  <c r="F175" i="14"/>
  <c r="G175" i="14"/>
  <c r="F166" i="7" s="1"/>
  <c r="F174" i="14"/>
  <c r="G174" i="14"/>
  <c r="F165" i="7" s="1"/>
  <c r="G173" i="14"/>
  <c r="F164" i="7" s="1"/>
  <c r="F173" i="14"/>
  <c r="F172" i="14"/>
  <c r="G172" i="14" s="1"/>
  <c r="F163" i="7" s="1"/>
  <c r="F171" i="14"/>
  <c r="G171" i="14" s="1"/>
  <c r="F162" i="7" s="1"/>
  <c r="F170" i="14"/>
  <c r="G170" i="14" s="1"/>
  <c r="F161" i="7" s="1"/>
  <c r="F169" i="14"/>
  <c r="G169" i="14" s="1"/>
  <c r="F160" i="7" s="1"/>
  <c r="F168" i="14"/>
  <c r="G168" i="14" s="1"/>
  <c r="F159" i="7" s="1"/>
  <c r="F167" i="14"/>
  <c r="G167" i="14" s="1"/>
  <c r="F158" i="7" s="1"/>
  <c r="F166" i="14"/>
  <c r="G166" i="14"/>
  <c r="F157" i="7" s="1"/>
  <c r="F165" i="14"/>
  <c r="G165" i="14" s="1"/>
  <c r="F156" i="7" s="1"/>
  <c r="F164" i="14"/>
  <c r="G164" i="14" s="1"/>
  <c r="F155" i="7" s="1"/>
  <c r="F163" i="14"/>
  <c r="G163" i="14" s="1"/>
  <c r="F154" i="7" s="1"/>
  <c r="F162" i="14"/>
  <c r="G162" i="14" s="1"/>
  <c r="F153" i="7" s="1"/>
  <c r="F161" i="14"/>
  <c r="G161" i="14" s="1"/>
  <c r="F152" i="7" s="1"/>
  <c r="F160" i="14"/>
  <c r="G160" i="14" s="1"/>
  <c r="F151" i="7" s="1"/>
  <c r="F159" i="14"/>
  <c r="G159" i="14" s="1"/>
  <c r="F150" i="7" s="1"/>
  <c r="F158" i="14"/>
  <c r="G158" i="14" s="1"/>
  <c r="F149" i="7" s="1"/>
  <c r="F157" i="14"/>
  <c r="G157" i="14" s="1"/>
  <c r="F148" i="7" s="1"/>
  <c r="F156" i="14"/>
  <c r="G156" i="14" s="1"/>
  <c r="F147" i="7" s="1"/>
  <c r="F155" i="14"/>
  <c r="G155" i="14" s="1"/>
  <c r="F146" i="7" s="1"/>
  <c r="F153" i="14"/>
  <c r="G153" i="14" s="1"/>
  <c r="F144" i="7" s="1"/>
  <c r="F152" i="14"/>
  <c r="G152" i="14" s="1"/>
  <c r="F143" i="7" s="1"/>
  <c r="F151" i="14"/>
  <c r="G151" i="14" s="1"/>
  <c r="F142" i="7" s="1"/>
  <c r="F150" i="14"/>
  <c r="G150" i="14" s="1"/>
  <c r="F141" i="7" s="1"/>
  <c r="F149" i="14"/>
  <c r="G149" i="14" s="1"/>
  <c r="F140" i="7" s="1"/>
  <c r="F148" i="14"/>
  <c r="G148" i="14" s="1"/>
  <c r="F139" i="7" s="1"/>
  <c r="F147" i="14"/>
  <c r="G147" i="14" s="1"/>
  <c r="F138" i="7" s="1"/>
  <c r="F146" i="14"/>
  <c r="G146" i="14" s="1"/>
  <c r="F137" i="7" s="1"/>
  <c r="F145" i="14"/>
  <c r="G145" i="14" s="1"/>
  <c r="F136" i="7" s="1"/>
  <c r="F144" i="14"/>
  <c r="G144" i="14" s="1"/>
  <c r="F135" i="7" s="1"/>
  <c r="F143" i="14"/>
  <c r="G143" i="14" s="1"/>
  <c r="F134" i="7" s="1"/>
  <c r="F142" i="14"/>
  <c r="G142" i="14" s="1"/>
  <c r="F133" i="7" s="1"/>
  <c r="F141" i="14"/>
  <c r="G141" i="14" s="1"/>
  <c r="F132" i="7" s="1"/>
  <c r="F140" i="14"/>
  <c r="G140" i="14" s="1"/>
  <c r="F131" i="7" s="1"/>
  <c r="F139" i="14"/>
  <c r="G139" i="14" s="1"/>
  <c r="F130" i="7" s="1"/>
  <c r="F138" i="14"/>
  <c r="G138" i="14" s="1"/>
  <c r="F129" i="7" s="1"/>
  <c r="F137" i="14"/>
  <c r="G137" i="14" s="1"/>
  <c r="F128" i="7" s="1"/>
  <c r="F136" i="14"/>
  <c r="G136" i="14" s="1"/>
  <c r="F127" i="7" s="1"/>
  <c r="F135" i="14"/>
  <c r="G135" i="14" s="1"/>
  <c r="F126" i="7" s="1"/>
  <c r="F134" i="14"/>
  <c r="G134" i="14" s="1"/>
  <c r="F125" i="7" s="1"/>
  <c r="F133" i="14"/>
  <c r="G133" i="14" s="1"/>
  <c r="F124" i="7" s="1"/>
  <c r="F132" i="14"/>
  <c r="G132" i="14" s="1"/>
  <c r="F123" i="7" s="1"/>
  <c r="F131" i="14"/>
  <c r="G131" i="14" s="1"/>
  <c r="F122" i="7" s="1"/>
  <c r="F130" i="14"/>
  <c r="G130" i="14" s="1"/>
  <c r="F121" i="7" s="1"/>
  <c r="F129" i="14"/>
  <c r="G129" i="14" s="1"/>
  <c r="F120" i="7" s="1"/>
  <c r="F128" i="14"/>
  <c r="G128" i="14"/>
  <c r="F119" i="7" s="1"/>
  <c r="F127" i="14"/>
  <c r="G127" i="14" s="1"/>
  <c r="F118" i="7" s="1"/>
  <c r="F126" i="14"/>
  <c r="G126" i="14" s="1"/>
  <c r="F117" i="7" s="1"/>
  <c r="F125" i="14"/>
  <c r="G125" i="14" s="1"/>
  <c r="F116" i="7" s="1"/>
  <c r="F124" i="14"/>
  <c r="G124" i="14" s="1"/>
  <c r="F115" i="7" s="1"/>
  <c r="F123" i="14"/>
  <c r="G123" i="14" s="1"/>
  <c r="F114" i="7" s="1"/>
  <c r="F122" i="14"/>
  <c r="G122" i="14" s="1"/>
  <c r="F113" i="7" s="1"/>
  <c r="F121" i="14"/>
  <c r="G121" i="14" s="1"/>
  <c r="F112" i="7" s="1"/>
  <c r="F120" i="14"/>
  <c r="G120" i="14" s="1"/>
  <c r="F111" i="7" s="1"/>
  <c r="F119" i="14"/>
  <c r="G119" i="14" s="1"/>
  <c r="F110" i="7" s="1"/>
  <c r="F118" i="14"/>
  <c r="G118" i="14" s="1"/>
  <c r="F109" i="7" s="1"/>
  <c r="F117" i="14"/>
  <c r="G117" i="14" s="1"/>
  <c r="F108" i="7" s="1"/>
  <c r="F116" i="14"/>
  <c r="G116" i="14" s="1"/>
  <c r="F107" i="7" s="1"/>
  <c r="F115" i="14"/>
  <c r="G115" i="14" s="1"/>
  <c r="F106" i="7" s="1"/>
  <c r="F114" i="14"/>
  <c r="G114" i="14" s="1"/>
  <c r="F105" i="7" s="1"/>
  <c r="F113" i="14"/>
  <c r="G113" i="14" s="1"/>
  <c r="F104" i="7" s="1"/>
  <c r="F112" i="14"/>
  <c r="G112" i="14"/>
  <c r="F103" i="7" s="1"/>
  <c r="F111" i="14"/>
  <c r="G111" i="14"/>
  <c r="F102" i="7" s="1"/>
  <c r="F110" i="14"/>
  <c r="G110" i="14" s="1"/>
  <c r="F101" i="7" s="1"/>
  <c r="F109" i="14"/>
  <c r="G109" i="14" s="1"/>
  <c r="F100" i="7" s="1"/>
  <c r="F108" i="14"/>
  <c r="G108" i="14" s="1"/>
  <c r="F99" i="7" s="1"/>
  <c r="F107" i="14"/>
  <c r="G107" i="14" s="1"/>
  <c r="F98" i="7" s="1"/>
  <c r="F106" i="14"/>
  <c r="G106" i="14" s="1"/>
  <c r="F97" i="7" s="1"/>
  <c r="F105" i="14"/>
  <c r="G105" i="14" s="1"/>
  <c r="F96" i="7" s="1"/>
  <c r="F104" i="14"/>
  <c r="G104" i="14" s="1"/>
  <c r="F95" i="7" s="1"/>
  <c r="F103" i="14"/>
  <c r="G103" i="14" s="1"/>
  <c r="F94" i="7" s="1"/>
  <c r="F102" i="14"/>
  <c r="G102" i="14" s="1"/>
  <c r="F93" i="7" s="1"/>
  <c r="F101" i="14"/>
  <c r="G101" i="14" s="1"/>
  <c r="F92" i="7" s="1"/>
  <c r="F100" i="14"/>
  <c r="G100" i="14" s="1"/>
  <c r="F91" i="7" s="1"/>
  <c r="F99" i="14"/>
  <c r="G99" i="14" s="1"/>
  <c r="F90" i="7" s="1"/>
  <c r="F98" i="14"/>
  <c r="G98" i="14" s="1"/>
  <c r="F89" i="7" s="1"/>
  <c r="F97" i="14"/>
  <c r="G97" i="14" s="1"/>
  <c r="F88" i="7" s="1"/>
  <c r="F96" i="14"/>
  <c r="G96" i="14" s="1"/>
  <c r="F87" i="7" s="1"/>
  <c r="F95" i="14"/>
  <c r="G95" i="14"/>
  <c r="F86" i="7" s="1"/>
  <c r="F94" i="14"/>
  <c r="G94" i="14"/>
  <c r="F85" i="7" s="1"/>
  <c r="F93" i="14"/>
  <c r="G93" i="14" s="1"/>
  <c r="F84" i="7" s="1"/>
  <c r="F92" i="14"/>
  <c r="G92" i="14" s="1"/>
  <c r="F83" i="7" s="1"/>
  <c r="F91" i="14"/>
  <c r="G91" i="14" s="1"/>
  <c r="F82" i="7" s="1"/>
  <c r="F90" i="14"/>
  <c r="G90" i="14" s="1"/>
  <c r="F81" i="7" s="1"/>
  <c r="F89" i="14"/>
  <c r="G89" i="14" s="1"/>
  <c r="F80" i="7" s="1"/>
  <c r="F88" i="14"/>
  <c r="G88" i="14" s="1"/>
  <c r="F79" i="7" s="1"/>
  <c r="F87" i="14"/>
  <c r="G87" i="14" s="1"/>
  <c r="F78" i="7" s="1"/>
  <c r="F86" i="14"/>
  <c r="G86" i="14" s="1"/>
  <c r="F77" i="7" s="1"/>
  <c r="F85" i="14"/>
  <c r="G85" i="14" s="1"/>
  <c r="F76" i="7" s="1"/>
  <c r="F84" i="14"/>
  <c r="G84" i="14" s="1"/>
  <c r="F75" i="7" s="1"/>
  <c r="F83" i="14"/>
  <c r="G83" i="14" s="1"/>
  <c r="F74" i="7" s="1"/>
  <c r="F82" i="14"/>
  <c r="G82" i="14" s="1"/>
  <c r="F73" i="7" s="1"/>
  <c r="F81" i="14"/>
  <c r="G81" i="14" s="1"/>
  <c r="F72" i="7" s="1"/>
  <c r="F80" i="14"/>
  <c r="G80" i="14" s="1"/>
  <c r="F71" i="7" s="1"/>
  <c r="F79" i="14"/>
  <c r="F78" i="14"/>
  <c r="G78" i="14" s="1"/>
  <c r="F69" i="7" s="1"/>
  <c r="F77" i="14"/>
  <c r="G77" i="14" s="1"/>
  <c r="F68" i="7" s="1"/>
  <c r="F76" i="14"/>
  <c r="G76" i="14" s="1"/>
  <c r="F67" i="7" s="1"/>
  <c r="F75" i="14"/>
  <c r="G75" i="14" s="1"/>
  <c r="F66" i="7" s="1"/>
  <c r="F74" i="14"/>
  <c r="G74" i="14" s="1"/>
  <c r="F65" i="7" s="1"/>
  <c r="F73" i="14"/>
  <c r="G73" i="14" s="1"/>
  <c r="F64" i="7" s="1"/>
  <c r="F72" i="14"/>
  <c r="G72" i="14" s="1"/>
  <c r="F63" i="7" s="1"/>
  <c r="F71" i="14"/>
  <c r="G71" i="14" s="1"/>
  <c r="F62" i="7" s="1"/>
  <c r="F70" i="14"/>
  <c r="G70" i="14" s="1"/>
  <c r="F61" i="7" s="1"/>
  <c r="F69" i="14"/>
  <c r="G69" i="14" s="1"/>
  <c r="F60" i="7" s="1"/>
  <c r="F68" i="14"/>
  <c r="G68" i="14" s="1"/>
  <c r="F59" i="7" s="1"/>
  <c r="F67" i="14"/>
  <c r="G67" i="14" s="1"/>
  <c r="F58" i="7" s="1"/>
  <c r="F66" i="14"/>
  <c r="G66" i="14" s="1"/>
  <c r="F57" i="7" s="1"/>
  <c r="F65" i="14"/>
  <c r="G65" i="14" s="1"/>
  <c r="F56" i="7" s="1"/>
  <c r="F64" i="14"/>
  <c r="G64" i="14" s="1"/>
  <c r="F55" i="7" s="1"/>
  <c r="F63" i="14"/>
  <c r="G63" i="14" s="1"/>
  <c r="F54" i="7" s="1"/>
  <c r="F62" i="14"/>
  <c r="G62" i="14" s="1"/>
  <c r="F53" i="7" s="1"/>
  <c r="F61" i="14"/>
  <c r="G61" i="14" s="1"/>
  <c r="F52" i="7" s="1"/>
  <c r="F60" i="14"/>
  <c r="G60" i="14" s="1"/>
  <c r="F51" i="7" s="1"/>
  <c r="F59" i="14"/>
  <c r="G59" i="14" s="1"/>
  <c r="F50" i="7" s="1"/>
  <c r="F58" i="14"/>
  <c r="G58" i="14" s="1"/>
  <c r="F49" i="7" s="1"/>
  <c r="F57" i="14"/>
  <c r="G57" i="14"/>
  <c r="F48" i="7" s="1"/>
  <c r="F56" i="14"/>
  <c r="G56" i="14" s="1"/>
  <c r="F47" i="7" s="1"/>
  <c r="F55" i="14"/>
  <c r="G55" i="14" s="1"/>
  <c r="F46" i="7" s="1"/>
  <c r="F54" i="14"/>
  <c r="G54" i="14" s="1"/>
  <c r="F45" i="7" s="1"/>
  <c r="F53" i="14"/>
  <c r="G53" i="14" s="1"/>
  <c r="F44" i="7" s="1"/>
  <c r="F52" i="14"/>
  <c r="G52" i="14" s="1"/>
  <c r="F43" i="7" s="1"/>
  <c r="F51" i="14"/>
  <c r="G51" i="14" s="1"/>
  <c r="F42" i="7" s="1"/>
  <c r="F50" i="14"/>
  <c r="G50" i="14" s="1"/>
  <c r="F41" i="7" s="1"/>
  <c r="F49" i="14"/>
  <c r="G49" i="14" s="1"/>
  <c r="F40" i="7" s="1"/>
  <c r="F47" i="14"/>
  <c r="G47" i="14" s="1"/>
  <c r="F38" i="7" s="1"/>
  <c r="F46" i="14"/>
  <c r="G46" i="14" s="1"/>
  <c r="F37" i="7" s="1"/>
  <c r="F45" i="14"/>
  <c r="G45" i="14" s="1"/>
  <c r="F36" i="7" s="1"/>
  <c r="F44" i="14"/>
  <c r="G44" i="14" s="1"/>
  <c r="F35" i="7" s="1"/>
  <c r="F43" i="14"/>
  <c r="G43" i="14" s="1"/>
  <c r="F34" i="7" s="1"/>
  <c r="F42" i="14"/>
  <c r="G42" i="14"/>
  <c r="F33" i="7" s="1"/>
  <c r="F41" i="14"/>
  <c r="G41" i="14" s="1"/>
  <c r="F32" i="7" s="1"/>
  <c r="F39" i="14"/>
  <c r="G39" i="14" s="1"/>
  <c r="F30" i="7" s="1"/>
  <c r="F38" i="14"/>
  <c r="G38" i="14" s="1"/>
  <c r="F29" i="7" s="1"/>
  <c r="F37" i="14"/>
  <c r="G37" i="14" s="1"/>
  <c r="F28" i="7" s="1"/>
  <c r="F36" i="14"/>
  <c r="G36" i="14" s="1"/>
  <c r="F27" i="7" s="1"/>
  <c r="F35" i="14"/>
  <c r="G35" i="14" s="1"/>
  <c r="F26" i="7" s="1"/>
  <c r="F34" i="14"/>
  <c r="G34" i="14" s="1"/>
  <c r="F25" i="7" s="1"/>
  <c r="F33" i="14"/>
  <c r="G33" i="14" s="1"/>
  <c r="F24" i="7" s="1"/>
  <c r="F32" i="14"/>
  <c r="G32" i="14" s="1"/>
  <c r="F23" i="7" s="1"/>
  <c r="F31" i="14"/>
  <c r="G31" i="14" s="1"/>
  <c r="F22" i="7" s="1"/>
  <c r="F30" i="14"/>
  <c r="G30" i="14" s="1"/>
  <c r="F21" i="7" s="1"/>
  <c r="F29" i="14"/>
  <c r="G29" i="14" s="1"/>
  <c r="F20" i="7" s="1"/>
  <c r="F28" i="14"/>
  <c r="G28" i="14" s="1"/>
  <c r="F19" i="7" s="1"/>
  <c r="F27" i="14"/>
  <c r="G27" i="14" s="1"/>
  <c r="F18" i="7" s="1"/>
  <c r="F26" i="14"/>
  <c r="G26" i="14"/>
  <c r="F17" i="7" s="1"/>
  <c r="F25" i="14"/>
  <c r="G25" i="14" s="1"/>
  <c r="F16" i="7" s="1"/>
  <c r="F24" i="14"/>
  <c r="G24" i="14" s="1"/>
  <c r="F15" i="7" s="1"/>
  <c r="F23" i="14"/>
  <c r="G23" i="14" s="1"/>
  <c r="F14" i="7" s="1"/>
  <c r="R199" i="14"/>
  <c r="F21" i="14"/>
  <c r="G21" i="14" s="1"/>
  <c r="F12" i="7" s="1"/>
  <c r="F20" i="14"/>
  <c r="G20" i="14" s="1"/>
  <c r="F11" i="7" s="1"/>
  <c r="F19" i="14"/>
  <c r="G19" i="14" s="1"/>
  <c r="F10" i="7" s="1"/>
  <c r="F18" i="14"/>
  <c r="G18" i="14" s="1"/>
  <c r="F9" i="7" s="1"/>
  <c r="F17" i="14"/>
  <c r="F16" i="14"/>
  <c r="G16" i="14" s="1"/>
  <c r="F7" i="7" s="1"/>
  <c r="F15" i="14"/>
  <c r="G15" i="14" s="1"/>
  <c r="F6" i="7" s="1"/>
  <c r="F14" i="14"/>
  <c r="G14" i="14" s="1"/>
  <c r="F5" i="7" s="1"/>
  <c r="F13" i="14"/>
  <c r="G13" i="14" s="1"/>
  <c r="F4" i="7" s="1"/>
  <c r="C4" i="14"/>
  <c r="AA2" i="14" s="1"/>
  <c r="AN1" i="14"/>
  <c r="AA1" i="14"/>
  <c r="S1" i="14"/>
  <c r="K1" i="14"/>
  <c r="J1" i="14"/>
  <c r="G79" i="14" l="1"/>
  <c r="F70" i="7" s="1"/>
  <c r="K2" i="14"/>
  <c r="S2" i="14"/>
  <c r="P199" i="14"/>
  <c r="F48" i="14"/>
  <c r="G48" i="14" s="1"/>
  <c r="F39" i="7" s="1"/>
  <c r="Q199" i="14"/>
  <c r="F154" i="14"/>
  <c r="G154" i="14" s="1"/>
  <c r="F145" i="7" s="1"/>
  <c r="G17" i="14"/>
  <c r="F8" i="7" s="1"/>
  <c r="F22" i="14"/>
  <c r="G22" i="14" s="1"/>
  <c r="F13" i="7" s="1"/>
  <c r="O199" i="14"/>
  <c r="F40" i="14"/>
  <c r="G40" i="14" s="1"/>
  <c r="F31" i="7" s="1"/>
  <c r="G195" i="14"/>
  <c r="F186" i="7" s="1"/>
  <c r="E199" i="14"/>
  <c r="G196" i="14"/>
  <c r="F187" i="7" s="1"/>
  <c r="G194" i="14"/>
  <c r="F185" i="7" s="1"/>
  <c r="G193" i="14"/>
  <c r="F184" i="7" s="1"/>
  <c r="S199" i="14"/>
  <c r="F199" i="14" l="1"/>
  <c r="G199" i="14"/>
  <c r="C199" i="14"/>
  <c r="G199" i="4" l="1"/>
  <c r="H190" i="7" s="1"/>
  <c r="F201" i="3"/>
  <c r="G13" i="4"/>
  <c r="H4" i="7" s="1"/>
  <c r="G14" i="4"/>
  <c r="G15" i="4"/>
  <c r="G16" i="4"/>
  <c r="G17" i="4"/>
  <c r="G18" i="4"/>
  <c r="G19" i="4"/>
  <c r="G201" i="3" l="1"/>
  <c r="D31" i="5"/>
  <c r="E31" i="5" s="1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 s="1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47" i="5"/>
  <c r="E47" i="5" s="1"/>
  <c r="D48" i="5"/>
  <c r="E48" i="5" s="1"/>
  <c r="D49" i="5"/>
  <c r="E49" i="5" s="1"/>
  <c r="D50" i="5"/>
  <c r="E50" i="5" s="1"/>
  <c r="D51" i="5"/>
  <c r="E51" i="5" s="1"/>
  <c r="D52" i="5"/>
  <c r="E52" i="5" s="1"/>
  <c r="D53" i="5"/>
  <c r="E53" i="5" s="1"/>
  <c r="D54" i="5"/>
  <c r="E54" i="5" s="1"/>
  <c r="D55" i="5"/>
  <c r="E55" i="5" s="1"/>
  <c r="D56" i="5"/>
  <c r="E56" i="5" s="1"/>
  <c r="D57" i="5"/>
  <c r="E57" i="5" s="1"/>
  <c r="D58" i="5"/>
  <c r="E58" i="5" s="1"/>
  <c r="D59" i="5"/>
  <c r="E59" i="5" s="1"/>
  <c r="D60" i="5"/>
  <c r="E60" i="5" s="1"/>
  <c r="D61" i="5"/>
  <c r="E61" i="5" s="1"/>
  <c r="D62" i="5"/>
  <c r="E62" i="5" s="1"/>
  <c r="D63" i="5"/>
  <c r="E63" i="5" s="1"/>
  <c r="D64" i="5"/>
  <c r="E64" i="5" s="1"/>
  <c r="D65" i="5"/>
  <c r="E65" i="5" s="1"/>
  <c r="D66" i="5"/>
  <c r="E66" i="5" s="1"/>
  <c r="D67" i="5"/>
  <c r="E67" i="5" s="1"/>
  <c r="D68" i="5"/>
  <c r="E68" i="5" s="1"/>
  <c r="D69" i="5"/>
  <c r="E69" i="5" s="1"/>
  <c r="D70" i="5"/>
  <c r="E70" i="5" s="1"/>
  <c r="D71" i="5"/>
  <c r="E71" i="5" s="1"/>
  <c r="D72" i="5"/>
  <c r="E72" i="5" s="1"/>
  <c r="D73" i="5"/>
  <c r="E73" i="5" s="1"/>
  <c r="D74" i="5"/>
  <c r="E74" i="5" s="1"/>
  <c r="D75" i="5"/>
  <c r="E75" i="5" s="1"/>
  <c r="D157" i="5"/>
  <c r="E157" i="5" s="1"/>
  <c r="D158" i="5"/>
  <c r="E158" i="5" s="1"/>
  <c r="D159" i="5"/>
  <c r="E159" i="5" s="1"/>
  <c r="D160" i="5"/>
  <c r="E160" i="5" s="1"/>
  <c r="D161" i="5"/>
  <c r="E161" i="5" s="1"/>
  <c r="D162" i="5"/>
  <c r="E162" i="5" s="1"/>
  <c r="D163" i="5"/>
  <c r="E163" i="5" s="1"/>
  <c r="D164" i="5"/>
  <c r="E164" i="5" s="1"/>
  <c r="D165" i="5"/>
  <c r="E165" i="5" s="1"/>
  <c r="D166" i="5"/>
  <c r="E166" i="5" s="1"/>
  <c r="D167" i="5"/>
  <c r="E167" i="5" s="1"/>
  <c r="D168" i="5"/>
  <c r="E168" i="5" s="1"/>
  <c r="D169" i="5"/>
  <c r="E169" i="5" s="1"/>
  <c r="D170" i="5"/>
  <c r="E170" i="5" s="1"/>
  <c r="D171" i="5"/>
  <c r="E171" i="5" s="1"/>
  <c r="D172" i="5"/>
  <c r="E172" i="5" s="1"/>
  <c r="D173" i="5"/>
  <c r="E173" i="5" s="1"/>
  <c r="D174" i="5"/>
  <c r="E174" i="5" s="1"/>
  <c r="D175" i="5"/>
  <c r="E175" i="5" s="1"/>
  <c r="D176" i="5"/>
  <c r="E176" i="5" s="1"/>
  <c r="D177" i="5"/>
  <c r="E177" i="5" s="1"/>
  <c r="D178" i="5"/>
  <c r="E178" i="5" s="1"/>
  <c r="D179" i="5"/>
  <c r="E179" i="5" s="1"/>
  <c r="D180" i="5"/>
  <c r="E180" i="5" s="1"/>
  <c r="D181" i="5"/>
  <c r="E181" i="5" s="1"/>
  <c r="D182" i="5"/>
  <c r="E182" i="5" s="1"/>
  <c r="D183" i="5"/>
  <c r="E183" i="5" s="1"/>
  <c r="D184" i="5"/>
  <c r="E184" i="5" s="1"/>
  <c r="D185" i="5"/>
  <c r="E185" i="5" s="1"/>
  <c r="D186" i="5"/>
  <c r="E186" i="5" s="1"/>
  <c r="D187" i="5"/>
  <c r="E187" i="5" s="1"/>
  <c r="D188" i="5"/>
  <c r="E188" i="5" s="1"/>
  <c r="D189" i="5"/>
  <c r="E189" i="5" s="1"/>
  <c r="D190" i="5"/>
  <c r="E190" i="5" s="1"/>
  <c r="D191" i="5"/>
  <c r="E191" i="5" s="1"/>
  <c r="D192" i="5"/>
  <c r="E192" i="5" s="1"/>
  <c r="D193" i="5"/>
  <c r="E193" i="5" s="1"/>
  <c r="D194" i="5"/>
  <c r="E194" i="5" s="1"/>
  <c r="C4" i="5"/>
  <c r="Q2" i="5" s="1"/>
  <c r="C4" i="4"/>
  <c r="C4" i="3"/>
  <c r="AB2" i="3" s="1"/>
  <c r="C4" i="11"/>
  <c r="R2" i="11" s="1"/>
  <c r="C4" i="10"/>
  <c r="Z2" i="10" s="1"/>
  <c r="C4" i="8"/>
  <c r="Q2" i="8" s="1"/>
  <c r="L2" i="1"/>
  <c r="T2" i="1"/>
  <c r="AB2" i="1"/>
  <c r="I2" i="8" l="1"/>
  <c r="R2" i="10"/>
  <c r="J2" i="11"/>
  <c r="Z2" i="11"/>
  <c r="L2" i="3"/>
  <c r="J2" i="10"/>
  <c r="T2" i="3"/>
  <c r="Y2" i="5"/>
  <c r="I2" i="5"/>
  <c r="F195" i="1" l="1"/>
  <c r="F196" i="1"/>
  <c r="F197" i="1"/>
  <c r="G191" i="4"/>
  <c r="E203" i="4"/>
  <c r="G195" i="4" s="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P14" i="11"/>
  <c r="O14" i="11"/>
  <c r="N14" i="11"/>
  <c r="M14" i="11"/>
  <c r="K14" i="11"/>
  <c r="J14" i="11"/>
  <c r="I14" i="11"/>
  <c r="H14" i="11"/>
  <c r="G14" i="11"/>
  <c r="F14" i="11"/>
  <c r="D12" i="11"/>
  <c r="E12" i="11" s="1"/>
  <c r="D11" i="11"/>
  <c r="E11" i="11" s="1"/>
  <c r="Q14" i="11"/>
  <c r="L14" i="11"/>
  <c r="C14" i="11"/>
  <c r="I1" i="11"/>
  <c r="H1" i="11"/>
  <c r="D14" i="11" l="1"/>
  <c r="E14" i="11" l="1"/>
  <c r="Q197" i="5" l="1"/>
  <c r="S199" i="1"/>
  <c r="H199" i="1"/>
  <c r="I199" i="1"/>
  <c r="J199" i="1"/>
  <c r="K199" i="1"/>
  <c r="M199" i="1"/>
  <c r="N199" i="1"/>
  <c r="P199" i="1"/>
  <c r="Q199" i="1"/>
  <c r="R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D179" i="10"/>
  <c r="E179" i="10" s="1"/>
  <c r="D180" i="10"/>
  <c r="E180" i="10" s="1"/>
  <c r="D181" i="10"/>
  <c r="E181" i="10" s="1"/>
  <c r="D182" i="10"/>
  <c r="E182" i="10" s="1"/>
  <c r="D183" i="10"/>
  <c r="E183" i="10" s="1"/>
  <c r="D184" i="10"/>
  <c r="E184" i="10" s="1"/>
  <c r="D185" i="10"/>
  <c r="E185" i="10" s="1"/>
  <c r="D186" i="10"/>
  <c r="E186" i="10" s="1"/>
  <c r="D187" i="10"/>
  <c r="E187" i="10" s="1"/>
  <c r="D188" i="10"/>
  <c r="E188" i="10" s="1"/>
  <c r="D189" i="10"/>
  <c r="E189" i="10" s="1"/>
  <c r="D190" i="10"/>
  <c r="E190" i="10" s="1"/>
  <c r="D191" i="10"/>
  <c r="E191" i="10" s="1"/>
  <c r="D192" i="10"/>
  <c r="E192" i="10" s="1"/>
  <c r="D193" i="10"/>
  <c r="E193" i="10" s="1"/>
  <c r="D194" i="10"/>
  <c r="E194" i="10" s="1"/>
  <c r="D195" i="10"/>
  <c r="E195" i="10" s="1"/>
  <c r="M197" i="10"/>
  <c r="F197" i="10"/>
  <c r="G197" i="10"/>
  <c r="H197" i="10"/>
  <c r="I197" i="10"/>
  <c r="J197" i="10"/>
  <c r="K197" i="10"/>
  <c r="N197" i="10"/>
  <c r="O197" i="10"/>
  <c r="P197" i="10"/>
  <c r="Q197" i="10"/>
  <c r="R197" i="10"/>
  <c r="S197" i="10"/>
  <c r="T197" i="10"/>
  <c r="U197" i="10"/>
  <c r="V197" i="10"/>
  <c r="W197" i="10"/>
  <c r="X197" i="10"/>
  <c r="Y197" i="10"/>
  <c r="Z197" i="10"/>
  <c r="AA197" i="10"/>
  <c r="AB197" i="10"/>
  <c r="AC197" i="10"/>
  <c r="AD197" i="10"/>
  <c r="AE197" i="10"/>
  <c r="AF197" i="10"/>
  <c r="L197" i="10"/>
  <c r="O199" i="1"/>
  <c r="I1" i="10"/>
  <c r="H1" i="10"/>
  <c r="D178" i="10"/>
  <c r="E178" i="10" s="1"/>
  <c r="E171" i="7" s="1"/>
  <c r="D177" i="10"/>
  <c r="E177" i="10" s="1"/>
  <c r="D176" i="10"/>
  <c r="E176" i="10" s="1"/>
  <c r="D175" i="10"/>
  <c r="E175" i="10" s="1"/>
  <c r="D174" i="10"/>
  <c r="E174" i="10" s="1"/>
  <c r="D173" i="10"/>
  <c r="E173" i="10" s="1"/>
  <c r="D172" i="10"/>
  <c r="E172" i="10" s="1"/>
  <c r="D171" i="10"/>
  <c r="E171" i="10" s="1"/>
  <c r="D170" i="10"/>
  <c r="E170" i="10" s="1"/>
  <c r="D169" i="10"/>
  <c r="E169" i="10" s="1"/>
  <c r="D168" i="10"/>
  <c r="E168" i="10" s="1"/>
  <c r="D167" i="10"/>
  <c r="E167" i="10" s="1"/>
  <c r="D166" i="10"/>
  <c r="E166" i="10" s="1"/>
  <c r="D165" i="10"/>
  <c r="E165" i="10" s="1"/>
  <c r="D164" i="10"/>
  <c r="E164" i="10" s="1"/>
  <c r="D163" i="10"/>
  <c r="E163" i="10" s="1"/>
  <c r="D162" i="10"/>
  <c r="E162" i="10" s="1"/>
  <c r="D161" i="10"/>
  <c r="E161" i="10" s="1"/>
  <c r="D160" i="10"/>
  <c r="E160" i="10" s="1"/>
  <c r="D159" i="10"/>
  <c r="E159" i="10" s="1"/>
  <c r="D158" i="10"/>
  <c r="E158" i="10" s="1"/>
  <c r="D157" i="10"/>
  <c r="E157" i="10" s="1"/>
  <c r="D156" i="10"/>
  <c r="E156" i="10" s="1"/>
  <c r="D155" i="10"/>
  <c r="E155" i="10" s="1"/>
  <c r="D154" i="10"/>
  <c r="E154" i="10" s="1"/>
  <c r="D153" i="10"/>
  <c r="E153" i="10" s="1"/>
  <c r="D152" i="10"/>
  <c r="E152" i="10" s="1"/>
  <c r="D151" i="10"/>
  <c r="E151" i="10" s="1"/>
  <c r="D150" i="10"/>
  <c r="E150" i="10" s="1"/>
  <c r="D149" i="10"/>
  <c r="E149" i="10" s="1"/>
  <c r="D148" i="10"/>
  <c r="E148" i="10" s="1"/>
  <c r="D147" i="10"/>
  <c r="E147" i="10" s="1"/>
  <c r="E140" i="7" s="1"/>
  <c r="D146" i="10"/>
  <c r="E146" i="10" s="1"/>
  <c r="D145" i="10"/>
  <c r="E145" i="10" s="1"/>
  <c r="D144" i="10"/>
  <c r="E144" i="10" s="1"/>
  <c r="D143" i="10"/>
  <c r="E143" i="10" s="1"/>
  <c r="D142" i="10"/>
  <c r="E142" i="10" s="1"/>
  <c r="D141" i="10"/>
  <c r="E141" i="10" s="1"/>
  <c r="D140" i="10"/>
  <c r="E140" i="10" s="1"/>
  <c r="D139" i="10"/>
  <c r="E139" i="10" s="1"/>
  <c r="D138" i="10"/>
  <c r="E138" i="10" s="1"/>
  <c r="D137" i="10"/>
  <c r="E137" i="10" s="1"/>
  <c r="D136" i="10"/>
  <c r="E136" i="10" s="1"/>
  <c r="D135" i="10"/>
  <c r="E135" i="10" s="1"/>
  <c r="D134" i="10"/>
  <c r="E134" i="10" s="1"/>
  <c r="D133" i="10"/>
  <c r="E133" i="10" s="1"/>
  <c r="D132" i="10"/>
  <c r="E132" i="10" s="1"/>
  <c r="D131" i="10"/>
  <c r="E131" i="10" s="1"/>
  <c r="D130" i="10"/>
  <c r="E130" i="10" s="1"/>
  <c r="E123" i="7" s="1"/>
  <c r="D129" i="10"/>
  <c r="E129" i="10" s="1"/>
  <c r="D128" i="10"/>
  <c r="E128" i="10" s="1"/>
  <c r="D127" i="10"/>
  <c r="E127" i="10" s="1"/>
  <c r="D126" i="10"/>
  <c r="E126" i="10" s="1"/>
  <c r="D125" i="10"/>
  <c r="E125" i="10" s="1"/>
  <c r="D124" i="10"/>
  <c r="E124" i="10" s="1"/>
  <c r="D123" i="10"/>
  <c r="E123" i="10" s="1"/>
  <c r="D122" i="10"/>
  <c r="E122" i="10" s="1"/>
  <c r="D121" i="10"/>
  <c r="E121" i="10" s="1"/>
  <c r="D120" i="10"/>
  <c r="E120" i="10" s="1"/>
  <c r="D119" i="10"/>
  <c r="E119" i="10" s="1"/>
  <c r="D118" i="10"/>
  <c r="E118" i="10" s="1"/>
  <c r="E111" i="7" s="1"/>
  <c r="D117" i="10"/>
  <c r="E117" i="10" s="1"/>
  <c r="D116" i="10"/>
  <c r="E116" i="10" s="1"/>
  <c r="D115" i="10"/>
  <c r="E115" i="10" s="1"/>
  <c r="D114" i="10"/>
  <c r="E114" i="10" s="1"/>
  <c r="D113" i="10"/>
  <c r="E113" i="10" s="1"/>
  <c r="D112" i="10"/>
  <c r="E112" i="10" s="1"/>
  <c r="D111" i="10"/>
  <c r="E111" i="10" s="1"/>
  <c r="D110" i="10"/>
  <c r="E110" i="10" s="1"/>
  <c r="D109" i="10"/>
  <c r="E109" i="10" s="1"/>
  <c r="D108" i="10"/>
  <c r="E108" i="10" s="1"/>
  <c r="D107" i="10"/>
  <c r="E107" i="10" s="1"/>
  <c r="D106" i="10"/>
  <c r="E106" i="10" s="1"/>
  <c r="D105" i="10"/>
  <c r="E105" i="10" s="1"/>
  <c r="D104" i="10"/>
  <c r="E104" i="10" s="1"/>
  <c r="D103" i="10"/>
  <c r="E103" i="10" s="1"/>
  <c r="D102" i="10"/>
  <c r="E102" i="10" s="1"/>
  <c r="D101" i="10"/>
  <c r="E101" i="10" s="1"/>
  <c r="D100" i="10"/>
  <c r="E100" i="10" s="1"/>
  <c r="E93" i="7" s="1"/>
  <c r="D99" i="10"/>
  <c r="E99" i="10" s="1"/>
  <c r="D98" i="10"/>
  <c r="E98" i="10" s="1"/>
  <c r="D97" i="10"/>
  <c r="E97" i="10" s="1"/>
  <c r="E90" i="7" s="1"/>
  <c r="D96" i="10"/>
  <c r="E96" i="10" s="1"/>
  <c r="D95" i="10"/>
  <c r="E95" i="10" s="1"/>
  <c r="D94" i="10"/>
  <c r="E94" i="10" s="1"/>
  <c r="D93" i="10"/>
  <c r="E93" i="10" s="1"/>
  <c r="D92" i="10"/>
  <c r="E92" i="10" s="1"/>
  <c r="D91" i="10"/>
  <c r="E91" i="10" s="1"/>
  <c r="D90" i="10"/>
  <c r="E90" i="10" s="1"/>
  <c r="D89" i="10"/>
  <c r="E89" i="10" s="1"/>
  <c r="D88" i="10"/>
  <c r="E88" i="10" s="1"/>
  <c r="D87" i="10"/>
  <c r="E87" i="10" s="1"/>
  <c r="D86" i="10"/>
  <c r="E86" i="10" s="1"/>
  <c r="D85" i="10"/>
  <c r="E85" i="10" s="1"/>
  <c r="D84" i="10"/>
  <c r="E84" i="10" s="1"/>
  <c r="D83" i="10"/>
  <c r="E83" i="10" s="1"/>
  <c r="D82" i="10"/>
  <c r="E82" i="10" s="1"/>
  <c r="D81" i="10"/>
  <c r="E81" i="10" s="1"/>
  <c r="D80" i="10"/>
  <c r="E80" i="10" s="1"/>
  <c r="D79" i="10"/>
  <c r="E79" i="10" s="1"/>
  <c r="D78" i="10"/>
  <c r="E78" i="10" s="1"/>
  <c r="D77" i="10"/>
  <c r="E77" i="10" s="1"/>
  <c r="D76" i="10"/>
  <c r="E76" i="10" s="1"/>
  <c r="D75" i="10"/>
  <c r="E75" i="10" s="1"/>
  <c r="D74" i="10"/>
  <c r="E74" i="10" s="1"/>
  <c r="E67" i="7" s="1"/>
  <c r="D73" i="10"/>
  <c r="E73" i="10" s="1"/>
  <c r="D72" i="10"/>
  <c r="E72" i="10" s="1"/>
  <c r="D71" i="10"/>
  <c r="E71" i="10" s="1"/>
  <c r="D70" i="10"/>
  <c r="E70" i="10" s="1"/>
  <c r="D69" i="10"/>
  <c r="E69" i="10" s="1"/>
  <c r="D68" i="10"/>
  <c r="E68" i="10" s="1"/>
  <c r="D67" i="10"/>
  <c r="E67" i="10" s="1"/>
  <c r="D66" i="10"/>
  <c r="E66" i="10" s="1"/>
  <c r="D65" i="10"/>
  <c r="E65" i="10" s="1"/>
  <c r="D64" i="10"/>
  <c r="E64" i="10" s="1"/>
  <c r="D63" i="10"/>
  <c r="E63" i="10" s="1"/>
  <c r="E56" i="7" s="1"/>
  <c r="D62" i="10"/>
  <c r="E62" i="10" s="1"/>
  <c r="D61" i="10"/>
  <c r="E61" i="10" s="1"/>
  <c r="D60" i="10"/>
  <c r="E60" i="10" s="1"/>
  <c r="D59" i="10"/>
  <c r="E59" i="10" s="1"/>
  <c r="D58" i="10"/>
  <c r="E58" i="10" s="1"/>
  <c r="D57" i="10"/>
  <c r="E57" i="10" s="1"/>
  <c r="D56" i="10"/>
  <c r="E56" i="10" s="1"/>
  <c r="D55" i="10"/>
  <c r="E55" i="10" s="1"/>
  <c r="D54" i="10"/>
  <c r="E54" i="10" s="1"/>
  <c r="D53" i="10"/>
  <c r="E53" i="10" s="1"/>
  <c r="D52" i="10"/>
  <c r="E52" i="10" s="1"/>
  <c r="D51" i="10"/>
  <c r="E51" i="10" s="1"/>
  <c r="D50" i="10"/>
  <c r="E50" i="10" s="1"/>
  <c r="E43" i="7" s="1"/>
  <c r="D49" i="10"/>
  <c r="E49" i="10" s="1"/>
  <c r="D48" i="10"/>
  <c r="E48" i="10" s="1"/>
  <c r="D47" i="10"/>
  <c r="E47" i="10" s="1"/>
  <c r="D46" i="10"/>
  <c r="E46" i="10" s="1"/>
  <c r="D45" i="10"/>
  <c r="E45" i="10" s="1"/>
  <c r="D44" i="10"/>
  <c r="E44" i="10" s="1"/>
  <c r="D43" i="10"/>
  <c r="E43" i="10" s="1"/>
  <c r="D42" i="10"/>
  <c r="E42" i="10" s="1"/>
  <c r="D41" i="10"/>
  <c r="E41" i="10" s="1"/>
  <c r="D40" i="10"/>
  <c r="E40" i="10" s="1"/>
  <c r="D39" i="10"/>
  <c r="E39" i="10" s="1"/>
  <c r="D38" i="10"/>
  <c r="E38" i="10" s="1"/>
  <c r="D37" i="10"/>
  <c r="E37" i="10" s="1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E30" i="10" s="1"/>
  <c r="D29" i="10"/>
  <c r="E29" i="10" s="1"/>
  <c r="D28" i="10"/>
  <c r="E28" i="10" s="1"/>
  <c r="D27" i="10"/>
  <c r="E27" i="10" s="1"/>
  <c r="D26" i="10"/>
  <c r="E26" i="10" s="1"/>
  <c r="D25" i="10"/>
  <c r="D24" i="10"/>
  <c r="E24" i="10" s="1"/>
  <c r="D23" i="10"/>
  <c r="E23" i="10" s="1"/>
  <c r="D22" i="10"/>
  <c r="E22" i="10" s="1"/>
  <c r="E15" i="7" s="1"/>
  <c r="D21" i="10"/>
  <c r="E21" i="10" s="1"/>
  <c r="D20" i="10"/>
  <c r="E20" i="10" s="1"/>
  <c r="D19" i="10"/>
  <c r="E19" i="10" s="1"/>
  <c r="D18" i="10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G197" i="5"/>
  <c r="H197" i="5"/>
  <c r="I197" i="5"/>
  <c r="J197" i="5"/>
  <c r="K197" i="5"/>
  <c r="L197" i="5"/>
  <c r="M197" i="5"/>
  <c r="N197" i="5"/>
  <c r="O197" i="5"/>
  <c r="P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F197" i="5"/>
  <c r="C197" i="5"/>
  <c r="G201" i="4"/>
  <c r="G183" i="4"/>
  <c r="H174" i="7" s="1"/>
  <c r="G184" i="4"/>
  <c r="G185" i="4"/>
  <c r="G186" i="4"/>
  <c r="G187" i="4"/>
  <c r="H178" i="7" s="1"/>
  <c r="G188" i="4"/>
  <c r="G189" i="4"/>
  <c r="G190" i="4"/>
  <c r="G192" i="4"/>
  <c r="L199" i="1"/>
  <c r="H203" i="4"/>
  <c r="I203" i="4"/>
  <c r="J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AA203" i="4"/>
  <c r="AB203" i="4"/>
  <c r="AC203" i="4"/>
  <c r="AD203" i="4"/>
  <c r="AE203" i="4"/>
  <c r="AF203" i="4"/>
  <c r="AG203" i="4"/>
  <c r="AH203" i="4"/>
  <c r="K203" i="4"/>
  <c r="T199" i="8"/>
  <c r="S199" i="8"/>
  <c r="R199" i="8"/>
  <c r="Q199" i="8"/>
  <c r="P199" i="8"/>
  <c r="O199" i="8"/>
  <c r="G199" i="8"/>
  <c r="F199" i="8"/>
  <c r="C199" i="8"/>
  <c r="D197" i="8"/>
  <c r="E197" i="8" s="1"/>
  <c r="D196" i="8"/>
  <c r="E196" i="8" s="1"/>
  <c r="E195" i="8"/>
  <c r="D189" i="7" s="1"/>
  <c r="E194" i="8"/>
  <c r="D188" i="7" s="1"/>
  <c r="E193" i="8"/>
  <c r="E192" i="8"/>
  <c r="D185" i="7" s="1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D111" i="7" s="1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D46" i="7" s="1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D24" i="8"/>
  <c r="E24" i="8" s="1"/>
  <c r="D23" i="8"/>
  <c r="E23" i="8" s="1"/>
  <c r="D22" i="8"/>
  <c r="E22" i="8" s="1"/>
  <c r="D21" i="8"/>
  <c r="E21" i="8" s="1"/>
  <c r="D20" i="8"/>
  <c r="E20" i="8" s="1"/>
  <c r="D19" i="8"/>
  <c r="E19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F18" i="1"/>
  <c r="F17" i="1"/>
  <c r="G17" i="1" s="1"/>
  <c r="D18" i="7" l="1"/>
  <c r="D194" i="7" s="1"/>
  <c r="E199" i="8"/>
  <c r="E199" i="1"/>
  <c r="C199" i="1" s="1"/>
  <c r="G195" i="1"/>
  <c r="G197" i="1"/>
  <c r="G196" i="1"/>
  <c r="E25" i="10"/>
  <c r="E18" i="7" s="1"/>
  <c r="G18" i="1"/>
  <c r="C197" i="10"/>
  <c r="D197" i="10"/>
  <c r="E18" i="10"/>
  <c r="E11" i="10"/>
  <c r="C203" i="4"/>
  <c r="N199" i="8"/>
  <c r="M199" i="8"/>
  <c r="L199" i="8"/>
  <c r="K199" i="8"/>
  <c r="J199" i="8"/>
  <c r="I199" i="8"/>
  <c r="H199" i="8"/>
  <c r="D18" i="8"/>
  <c r="E18" i="8" s="1"/>
  <c r="F200" i="3"/>
  <c r="G200" i="3" s="1"/>
  <c r="G191" i="7" s="1"/>
  <c r="F199" i="3"/>
  <c r="G199" i="3" s="1"/>
  <c r="G190" i="7" s="1"/>
  <c r="F198" i="3"/>
  <c r="G198" i="3" s="1"/>
  <c r="G189" i="7" s="1"/>
  <c r="F197" i="3"/>
  <c r="G197" i="3" s="1"/>
  <c r="G188" i="7" s="1"/>
  <c r="F196" i="3"/>
  <c r="G196" i="3" s="1"/>
  <c r="G187" i="7" s="1"/>
  <c r="F195" i="3"/>
  <c r="G195" i="3" s="1"/>
  <c r="G186" i="7" s="1"/>
  <c r="F194" i="3"/>
  <c r="G194" i="3" s="1"/>
  <c r="G185" i="7" s="1"/>
  <c r="F193" i="3"/>
  <c r="G193" i="3" s="1"/>
  <c r="G184" i="7" s="1"/>
  <c r="C203" i="3"/>
  <c r="G200" i="4"/>
  <c r="H191" i="7" s="1"/>
  <c r="G198" i="4"/>
  <c r="H189" i="7" s="1"/>
  <c r="G194" i="4"/>
  <c r="H185" i="7" s="1"/>
  <c r="G193" i="4"/>
  <c r="H184" i="7" s="1"/>
  <c r="G182" i="4"/>
  <c r="H173" i="7" s="1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H153" i="7" s="1"/>
  <c r="G161" i="4"/>
  <c r="H152" i="7" s="1"/>
  <c r="G160" i="4"/>
  <c r="G159" i="4"/>
  <c r="G158" i="4"/>
  <c r="G157" i="4"/>
  <c r="H148" i="7" s="1"/>
  <c r="G156" i="4"/>
  <c r="G155" i="4"/>
  <c r="H146" i="7" s="1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H130" i="7" s="1"/>
  <c r="G138" i="4"/>
  <c r="G137" i="4"/>
  <c r="G136" i="4"/>
  <c r="G135" i="4"/>
  <c r="G134" i="4"/>
  <c r="G133" i="4"/>
  <c r="H124" i="7" s="1"/>
  <c r="G132" i="4"/>
  <c r="G131" i="4"/>
  <c r="G130" i="4"/>
  <c r="G129" i="4"/>
  <c r="G128" i="4"/>
  <c r="G127" i="4"/>
  <c r="G126" i="4"/>
  <c r="G125" i="4"/>
  <c r="G124" i="4"/>
  <c r="G123" i="4"/>
  <c r="H114" i="7" s="1"/>
  <c r="G122" i="4"/>
  <c r="G121" i="4"/>
  <c r="G120" i="4"/>
  <c r="H111" i="7" s="1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H93" i="7" s="1"/>
  <c r="G101" i="4"/>
  <c r="G100" i="4"/>
  <c r="G99" i="4"/>
  <c r="G98" i="4"/>
  <c r="G97" i="4"/>
  <c r="G96" i="4"/>
  <c r="G95" i="4"/>
  <c r="G94" i="4"/>
  <c r="G93" i="4"/>
  <c r="G92" i="4"/>
  <c r="G91" i="4"/>
  <c r="H82" i="7" s="1"/>
  <c r="G90" i="4"/>
  <c r="G89" i="4"/>
  <c r="G88" i="4"/>
  <c r="G87" i="4"/>
  <c r="G86" i="4"/>
  <c r="G85" i="4"/>
  <c r="H76" i="7" s="1"/>
  <c r="G84" i="4"/>
  <c r="G83" i="4"/>
  <c r="G82" i="4"/>
  <c r="G81" i="4"/>
  <c r="G80" i="4"/>
  <c r="G79" i="4"/>
  <c r="G78" i="4"/>
  <c r="G77" i="4"/>
  <c r="G76" i="4"/>
  <c r="G75" i="4"/>
  <c r="H66" i="7" s="1"/>
  <c r="G74" i="4"/>
  <c r="G73" i="4"/>
  <c r="H64" i="7" s="1"/>
  <c r="G72" i="4"/>
  <c r="H63" i="7" s="1"/>
  <c r="G71" i="4"/>
  <c r="G70" i="4"/>
  <c r="G69" i="4"/>
  <c r="G68" i="4"/>
  <c r="G67" i="4"/>
  <c r="H58" i="7" s="1"/>
  <c r="G66" i="4"/>
  <c r="H57" i="7" s="1"/>
  <c r="G65" i="4"/>
  <c r="H56" i="7" s="1"/>
  <c r="G64" i="4"/>
  <c r="G63" i="4"/>
  <c r="H54" i="7" s="1"/>
  <c r="G62" i="4"/>
  <c r="H53" i="7" s="1"/>
  <c r="G61" i="4"/>
  <c r="G60" i="4"/>
  <c r="G59" i="4"/>
  <c r="G58" i="4"/>
  <c r="G57" i="4"/>
  <c r="G56" i="4"/>
  <c r="G55" i="4"/>
  <c r="G54" i="4"/>
  <c r="G53" i="4"/>
  <c r="G52" i="4"/>
  <c r="H43" i="7" s="1"/>
  <c r="G51" i="4"/>
  <c r="G50" i="4"/>
  <c r="G49" i="4"/>
  <c r="G48" i="4"/>
  <c r="G47" i="4"/>
  <c r="G46" i="4"/>
  <c r="G45" i="4"/>
  <c r="G44" i="4"/>
  <c r="G43" i="4"/>
  <c r="G42" i="4"/>
  <c r="G41" i="4"/>
  <c r="G40" i="4"/>
  <c r="H31" i="7" s="1"/>
  <c r="G39" i="4"/>
  <c r="G38" i="4"/>
  <c r="H29" i="7" s="1"/>
  <c r="G37" i="4"/>
  <c r="G36" i="4"/>
  <c r="G35" i="4"/>
  <c r="G34" i="4"/>
  <c r="G33" i="4"/>
  <c r="G32" i="4"/>
  <c r="G31" i="4"/>
  <c r="G30" i="4"/>
  <c r="G29" i="4"/>
  <c r="G28" i="4"/>
  <c r="G27" i="4"/>
  <c r="H18" i="7" s="1"/>
  <c r="G26" i="4"/>
  <c r="G25" i="4"/>
  <c r="H16" i="7" s="1"/>
  <c r="G24" i="4"/>
  <c r="H15" i="7" s="1"/>
  <c r="G23" i="4"/>
  <c r="G22" i="4"/>
  <c r="H13" i="7" s="1"/>
  <c r="G21" i="4"/>
  <c r="G20" i="4"/>
  <c r="H11" i="7" s="1"/>
  <c r="D156" i="5"/>
  <c r="E156" i="5" s="1"/>
  <c r="I145" i="7" s="1"/>
  <c r="D155" i="5"/>
  <c r="E155" i="5" s="1"/>
  <c r="D154" i="5"/>
  <c r="E154" i="5" s="1"/>
  <c r="D153" i="5"/>
  <c r="E153" i="5" s="1"/>
  <c r="D152" i="5"/>
  <c r="E152" i="5" s="1"/>
  <c r="D151" i="5"/>
  <c r="E151" i="5" s="1"/>
  <c r="D150" i="5"/>
  <c r="E150" i="5" s="1"/>
  <c r="D149" i="5"/>
  <c r="E149" i="5" s="1"/>
  <c r="D148" i="5"/>
  <c r="E148" i="5" s="1"/>
  <c r="I137" i="7" s="1"/>
  <c r="D147" i="5"/>
  <c r="E147" i="5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137" i="5"/>
  <c r="E137" i="5" s="1"/>
  <c r="D136" i="5"/>
  <c r="E136" i="5" s="1"/>
  <c r="D135" i="5"/>
  <c r="E135" i="5" s="1"/>
  <c r="I124" i="7" s="1"/>
  <c r="D134" i="5"/>
  <c r="E134" i="5" s="1"/>
  <c r="I123" i="7" s="1"/>
  <c r="D133" i="5"/>
  <c r="E133" i="5" s="1"/>
  <c r="D132" i="5"/>
  <c r="E132" i="5" s="1"/>
  <c r="D131" i="5"/>
  <c r="E131" i="5" s="1"/>
  <c r="D130" i="5"/>
  <c r="E130" i="5" s="1"/>
  <c r="D129" i="5"/>
  <c r="E129" i="5" s="1"/>
  <c r="D128" i="5"/>
  <c r="E128" i="5" s="1"/>
  <c r="D127" i="5"/>
  <c r="E127" i="5" s="1"/>
  <c r="D126" i="5"/>
  <c r="E126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5" i="5"/>
  <c r="E115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I96" i="7" s="1"/>
  <c r="D106" i="5"/>
  <c r="E106" i="5" s="1"/>
  <c r="D105" i="5"/>
  <c r="E105" i="5" s="1"/>
  <c r="D104" i="5"/>
  <c r="E104" i="5" s="1"/>
  <c r="D103" i="5"/>
  <c r="E103" i="5" s="1"/>
  <c r="D102" i="5"/>
  <c r="E102" i="5" s="1"/>
  <c r="D101" i="5"/>
  <c r="E101" i="5" s="1"/>
  <c r="D100" i="5"/>
  <c r="E100" i="5" s="1"/>
  <c r="I89" i="7" s="1"/>
  <c r="D99" i="5"/>
  <c r="E99" i="5" s="1"/>
  <c r="D98" i="5"/>
  <c r="E98" i="5" s="1"/>
  <c r="D97" i="5"/>
  <c r="E97" i="5" s="1"/>
  <c r="D96" i="5"/>
  <c r="E96" i="5" s="1"/>
  <c r="D95" i="5"/>
  <c r="E95" i="5" s="1"/>
  <c r="D94" i="5"/>
  <c r="E94" i="5" s="1"/>
  <c r="D93" i="5"/>
  <c r="E93" i="5" s="1"/>
  <c r="D92" i="5"/>
  <c r="E92" i="5" s="1"/>
  <c r="D91" i="5"/>
  <c r="E91" i="5" s="1"/>
  <c r="D90" i="5"/>
  <c r="E90" i="5" s="1"/>
  <c r="D89" i="5"/>
  <c r="E89" i="5" s="1"/>
  <c r="I78" i="7" s="1"/>
  <c r="D86" i="5"/>
  <c r="E86" i="5" s="1"/>
  <c r="D85" i="5"/>
  <c r="E85" i="5" s="1"/>
  <c r="D84" i="5"/>
  <c r="E84" i="5" s="1"/>
  <c r="D83" i="5"/>
  <c r="E83" i="5" s="1"/>
  <c r="D82" i="5"/>
  <c r="E82" i="5" s="1"/>
  <c r="D81" i="5"/>
  <c r="E81" i="5" s="1"/>
  <c r="D80" i="5"/>
  <c r="E80" i="5" s="1"/>
  <c r="D79" i="5"/>
  <c r="E79" i="5" s="1"/>
  <c r="D78" i="5"/>
  <c r="E78" i="5" s="1"/>
  <c r="D77" i="5"/>
  <c r="D76" i="5"/>
  <c r="E76" i="5" s="1"/>
  <c r="I67" i="7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AA1" i="4"/>
  <c r="S1" i="4"/>
  <c r="AA1" i="3"/>
  <c r="S1" i="3"/>
  <c r="I1" i="5"/>
  <c r="Q1" i="5" s="1"/>
  <c r="H1" i="5"/>
  <c r="K1" i="4"/>
  <c r="J1" i="4"/>
  <c r="F191" i="3"/>
  <c r="G191" i="3" s="1"/>
  <c r="G182" i="7" s="1"/>
  <c r="F192" i="3"/>
  <c r="G192" i="3" s="1"/>
  <c r="G183" i="7" s="1"/>
  <c r="F190" i="3"/>
  <c r="G190" i="3" s="1"/>
  <c r="F189" i="3"/>
  <c r="G189" i="3" s="1"/>
  <c r="F188" i="3"/>
  <c r="G188" i="3" s="1"/>
  <c r="F187" i="3"/>
  <c r="G187" i="3" s="1"/>
  <c r="F186" i="3"/>
  <c r="G186" i="3" s="1"/>
  <c r="G177" i="7" s="1"/>
  <c r="F185" i="3"/>
  <c r="G185" i="3" s="1"/>
  <c r="F184" i="3"/>
  <c r="G184" i="3" s="1"/>
  <c r="F183" i="3"/>
  <c r="G183" i="3" s="1"/>
  <c r="F182" i="3"/>
  <c r="F181" i="3"/>
  <c r="G181" i="3" s="1"/>
  <c r="F180" i="3"/>
  <c r="G180" i="3" s="1"/>
  <c r="F179" i="3"/>
  <c r="G179" i="3" s="1"/>
  <c r="F178" i="3"/>
  <c r="G178" i="3" s="1"/>
  <c r="F177" i="3"/>
  <c r="F176" i="3"/>
  <c r="G176" i="3" s="1"/>
  <c r="F175" i="3"/>
  <c r="G175" i="3" s="1"/>
  <c r="F174" i="3"/>
  <c r="G174" i="3" s="1"/>
  <c r="G165" i="7" s="1"/>
  <c r="F173" i="3"/>
  <c r="G173" i="3" s="1"/>
  <c r="F172" i="3"/>
  <c r="G172" i="3" s="1"/>
  <c r="F171" i="3"/>
  <c r="G171" i="3" s="1"/>
  <c r="F170" i="3"/>
  <c r="G170" i="3" s="1"/>
  <c r="F169" i="3"/>
  <c r="F168" i="3"/>
  <c r="F167" i="3"/>
  <c r="F166" i="3"/>
  <c r="F165" i="3"/>
  <c r="G165" i="3" s="1"/>
  <c r="F164" i="3"/>
  <c r="G164" i="3" s="1"/>
  <c r="F163" i="3"/>
  <c r="F162" i="3"/>
  <c r="G162" i="3" s="1"/>
  <c r="F161" i="3"/>
  <c r="G161" i="3" s="1"/>
  <c r="F160" i="3"/>
  <c r="G160" i="3" s="1"/>
  <c r="F159" i="3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F151" i="3"/>
  <c r="G151" i="3" s="1"/>
  <c r="F150" i="3"/>
  <c r="G150" i="3" s="1"/>
  <c r="F149" i="3"/>
  <c r="G149" i="3" s="1"/>
  <c r="G140" i="7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F140" i="3"/>
  <c r="F139" i="3"/>
  <c r="G139" i="3" s="1"/>
  <c r="F138" i="3"/>
  <c r="G138" i="3" s="1"/>
  <c r="F137" i="3"/>
  <c r="F136" i="3"/>
  <c r="F135" i="3"/>
  <c r="G135" i="3" s="1"/>
  <c r="F134" i="3"/>
  <c r="G134" i="3" s="1"/>
  <c r="F133" i="3"/>
  <c r="F132" i="3"/>
  <c r="F131" i="3"/>
  <c r="G131" i="3" s="1"/>
  <c r="F130" i="3"/>
  <c r="G130" i="3" s="1"/>
  <c r="F129" i="3"/>
  <c r="F128" i="3"/>
  <c r="G128" i="3" s="1"/>
  <c r="F127" i="3"/>
  <c r="G127" i="3" s="1"/>
  <c r="F126" i="3"/>
  <c r="F125" i="3"/>
  <c r="G125" i="3" s="1"/>
  <c r="F124" i="3"/>
  <c r="G124" i="3" s="1"/>
  <c r="F123" i="3"/>
  <c r="F122" i="3"/>
  <c r="F121" i="3"/>
  <c r="F120" i="3"/>
  <c r="F119" i="3"/>
  <c r="F118" i="3"/>
  <c r="F117" i="3"/>
  <c r="F116" i="3"/>
  <c r="F115" i="3"/>
  <c r="F114" i="3"/>
  <c r="G114" i="3" s="1"/>
  <c r="G105" i="7" s="1"/>
  <c r="F113" i="3"/>
  <c r="G113" i="3" s="1"/>
  <c r="F112" i="3"/>
  <c r="G112" i="3" s="1"/>
  <c r="F111" i="3"/>
  <c r="F110" i="3"/>
  <c r="F109" i="3"/>
  <c r="F108" i="3"/>
  <c r="G108" i="3" s="1"/>
  <c r="F107" i="3"/>
  <c r="G107" i="3" s="1"/>
  <c r="F106" i="3"/>
  <c r="G106" i="3" s="1"/>
  <c r="F105" i="3"/>
  <c r="G105" i="3" s="1"/>
  <c r="F104" i="3"/>
  <c r="F103" i="3"/>
  <c r="F102" i="3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G85" i="7" s="1"/>
  <c r="F93" i="3"/>
  <c r="G93" i="3" s="1"/>
  <c r="G84" i="7" s="1"/>
  <c r="F92" i="3"/>
  <c r="G92" i="3" s="1"/>
  <c r="F91" i="3"/>
  <c r="G91" i="3" s="1"/>
  <c r="F90" i="3"/>
  <c r="F89" i="3"/>
  <c r="G89" i="3" s="1"/>
  <c r="F88" i="3"/>
  <c r="G88" i="3" s="1"/>
  <c r="F87" i="3"/>
  <c r="G87" i="3" s="1"/>
  <c r="F86" i="3"/>
  <c r="F85" i="3"/>
  <c r="F84" i="3"/>
  <c r="F83" i="3"/>
  <c r="F82" i="3"/>
  <c r="F81" i="3"/>
  <c r="F80" i="3"/>
  <c r="F79" i="3"/>
  <c r="F78" i="3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G60" i="7" s="1"/>
  <c r="F68" i="3"/>
  <c r="G68" i="3" s="1"/>
  <c r="G59" i="7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F55" i="3"/>
  <c r="G55" i="3" s="1"/>
  <c r="F54" i="3"/>
  <c r="G54" i="3" s="1"/>
  <c r="F53" i="3"/>
  <c r="G53" i="3" s="1"/>
  <c r="G44" i="7" s="1"/>
  <c r="F52" i="3"/>
  <c r="G52" i="3" s="1"/>
  <c r="F51" i="3"/>
  <c r="G51" i="3" s="1"/>
  <c r="F50" i="3"/>
  <c r="G50" i="3" s="1"/>
  <c r="G41" i="7" s="1"/>
  <c r="F49" i="3"/>
  <c r="G49" i="3" s="1"/>
  <c r="F48" i="3"/>
  <c r="G48" i="3" s="1"/>
  <c r="F47" i="3"/>
  <c r="G47" i="3" s="1"/>
  <c r="F46" i="3"/>
  <c r="G46" i="3" s="1"/>
  <c r="F45" i="3"/>
  <c r="G45" i="3" s="1"/>
  <c r="F44" i="3"/>
  <c r="F43" i="3"/>
  <c r="F42" i="3"/>
  <c r="G42" i="3" s="1"/>
  <c r="G33" i="7" s="1"/>
  <c r="F41" i="3"/>
  <c r="G41" i="3" s="1"/>
  <c r="F40" i="3"/>
  <c r="G40" i="3" s="1"/>
  <c r="F39" i="3"/>
  <c r="G39" i="3" s="1"/>
  <c r="F38" i="3"/>
  <c r="G38" i="3" s="1"/>
  <c r="F37" i="3"/>
  <c r="G37" i="3" s="1"/>
  <c r="G28" i="7" s="1"/>
  <c r="F36" i="3"/>
  <c r="G36" i="3" s="1"/>
  <c r="F35" i="3"/>
  <c r="F34" i="3"/>
  <c r="F33" i="3"/>
  <c r="F32" i="3"/>
  <c r="G32" i="3" s="1"/>
  <c r="F31" i="3"/>
  <c r="G31" i="3" s="1"/>
  <c r="G22" i="7" s="1"/>
  <c r="F30" i="3"/>
  <c r="G30" i="3" s="1"/>
  <c r="G21" i="7" s="1"/>
  <c r="F29" i="3"/>
  <c r="G29" i="3" s="1"/>
  <c r="F28" i="3"/>
  <c r="G28" i="3" s="1"/>
  <c r="F27" i="3"/>
  <c r="F26" i="3"/>
  <c r="F25" i="3"/>
  <c r="F24" i="3"/>
  <c r="F23" i="3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K1" i="3"/>
  <c r="J1" i="3"/>
  <c r="I1" i="8"/>
  <c r="H1" i="8"/>
  <c r="F194" i="1"/>
  <c r="F193" i="1"/>
  <c r="F191" i="1"/>
  <c r="F192" i="1"/>
  <c r="F190" i="1"/>
  <c r="G190" i="1" s="1"/>
  <c r="C181" i="7" s="1"/>
  <c r="F189" i="1"/>
  <c r="G189" i="1" s="1"/>
  <c r="F188" i="1"/>
  <c r="F187" i="1"/>
  <c r="F186" i="1"/>
  <c r="G186" i="1" s="1"/>
  <c r="F185" i="1"/>
  <c r="G185" i="1" s="1"/>
  <c r="F184" i="1"/>
  <c r="G184" i="1" s="1"/>
  <c r="F183" i="1"/>
  <c r="F182" i="1"/>
  <c r="G182" i="1" s="1"/>
  <c r="F181" i="1"/>
  <c r="G181" i="1" s="1"/>
  <c r="C172" i="7" s="1"/>
  <c r="F180" i="1"/>
  <c r="F179" i="1"/>
  <c r="G179" i="1" s="1"/>
  <c r="F178" i="1"/>
  <c r="F177" i="1"/>
  <c r="F176" i="1"/>
  <c r="G176" i="1" s="1"/>
  <c r="F175" i="1"/>
  <c r="G175" i="1" s="1"/>
  <c r="F174" i="1"/>
  <c r="G174" i="1" s="1"/>
  <c r="C165" i="7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F167" i="1"/>
  <c r="G167" i="1" s="1"/>
  <c r="C158" i="7" s="1"/>
  <c r="F166" i="1"/>
  <c r="G166" i="1" s="1"/>
  <c r="C157" i="7" s="1"/>
  <c r="F165" i="1"/>
  <c r="G165" i="1" s="1"/>
  <c r="C156" i="7" s="1"/>
  <c r="F164" i="1"/>
  <c r="G164" i="1" s="1"/>
  <c r="C155" i="7" s="1"/>
  <c r="F163" i="1"/>
  <c r="G163" i="1" s="1"/>
  <c r="F162" i="1"/>
  <c r="G162" i="1" s="1"/>
  <c r="F161" i="1"/>
  <c r="F160" i="1"/>
  <c r="F159" i="1"/>
  <c r="G159" i="1" s="1"/>
  <c r="C150" i="7" s="1"/>
  <c r="F158" i="1"/>
  <c r="G158" i="1" s="1"/>
  <c r="F157" i="1"/>
  <c r="G157" i="1" s="1"/>
  <c r="F156" i="1"/>
  <c r="G156" i="1" s="1"/>
  <c r="F155" i="1"/>
  <c r="G155" i="1" s="1"/>
  <c r="F154" i="1"/>
  <c r="F153" i="1"/>
  <c r="F152" i="1"/>
  <c r="G152" i="1" s="1"/>
  <c r="F151" i="1"/>
  <c r="F150" i="1"/>
  <c r="G150" i="1" s="1"/>
  <c r="C141" i="7" s="1"/>
  <c r="F149" i="1"/>
  <c r="F148" i="1"/>
  <c r="G148" i="1" s="1"/>
  <c r="F147" i="1"/>
  <c r="G147" i="1" s="1"/>
  <c r="F146" i="1"/>
  <c r="F145" i="1"/>
  <c r="F144" i="1"/>
  <c r="G144" i="1" s="1"/>
  <c r="F143" i="1"/>
  <c r="G143" i="1" s="1"/>
  <c r="C134" i="7" s="1"/>
  <c r="F142" i="1"/>
  <c r="G142" i="1" s="1"/>
  <c r="F141" i="1"/>
  <c r="F140" i="1"/>
  <c r="F139" i="1"/>
  <c r="G139" i="1" s="1"/>
  <c r="C130" i="7" s="1"/>
  <c r="F138" i="1"/>
  <c r="G138" i="1" s="1"/>
  <c r="C129" i="7" s="1"/>
  <c r="F137" i="1"/>
  <c r="F136" i="1"/>
  <c r="G136" i="1" s="1"/>
  <c r="F135" i="1"/>
  <c r="G135" i="1" s="1"/>
  <c r="C126" i="7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F128" i="1"/>
  <c r="G128" i="1" s="1"/>
  <c r="F127" i="1"/>
  <c r="F126" i="1"/>
  <c r="F125" i="1"/>
  <c r="F124" i="1"/>
  <c r="G124" i="1" s="1"/>
  <c r="F123" i="1"/>
  <c r="F122" i="1"/>
  <c r="F121" i="1"/>
  <c r="G121" i="1" s="1"/>
  <c r="F120" i="1"/>
  <c r="F119" i="1"/>
  <c r="F118" i="1"/>
  <c r="G118" i="1" s="1"/>
  <c r="F117" i="1"/>
  <c r="G117" i="1" s="1"/>
  <c r="C108" i="7" s="1"/>
  <c r="F116" i="1"/>
  <c r="G116" i="1" s="1"/>
  <c r="F115" i="1"/>
  <c r="G115" i="1" s="1"/>
  <c r="F114" i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F107" i="1"/>
  <c r="G107" i="1" s="1"/>
  <c r="F106" i="1"/>
  <c r="G106" i="1" s="1"/>
  <c r="F105" i="1"/>
  <c r="F104" i="1"/>
  <c r="F103" i="1"/>
  <c r="F102" i="1"/>
  <c r="F101" i="1"/>
  <c r="G101" i="1" s="1"/>
  <c r="F100" i="1"/>
  <c r="G100" i="1" s="1"/>
  <c r="F99" i="1"/>
  <c r="F98" i="1"/>
  <c r="F97" i="1"/>
  <c r="G97" i="1" s="1"/>
  <c r="F96" i="1"/>
  <c r="G96" i="1" s="1"/>
  <c r="F95" i="1"/>
  <c r="G95" i="1" s="1"/>
  <c r="F94" i="1"/>
  <c r="G94" i="1" s="1"/>
  <c r="C85" i="7" s="1"/>
  <c r="F93" i="1"/>
  <c r="G93" i="1" s="1"/>
  <c r="F92" i="1"/>
  <c r="G92" i="1" s="1"/>
  <c r="F91" i="1"/>
  <c r="G91" i="1" s="1"/>
  <c r="F90" i="1"/>
  <c r="F89" i="1"/>
  <c r="G89" i="1" s="1"/>
  <c r="F88" i="1"/>
  <c r="F87" i="1"/>
  <c r="F86" i="1"/>
  <c r="G86" i="1" s="1"/>
  <c r="F85" i="1"/>
  <c r="G85" i="1" s="1"/>
  <c r="F84" i="1"/>
  <c r="F83" i="1"/>
  <c r="G83" i="1" s="1"/>
  <c r="F82" i="1"/>
  <c r="G82" i="1" s="1"/>
  <c r="F81" i="1"/>
  <c r="G81" i="1" s="1"/>
  <c r="F80" i="1"/>
  <c r="F79" i="1"/>
  <c r="G79" i="1" s="1"/>
  <c r="F78" i="1"/>
  <c r="G78" i="1" s="1"/>
  <c r="F77" i="1"/>
  <c r="F76" i="1"/>
  <c r="G76" i="1" s="1"/>
  <c r="C67" i="7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C59" i="7" s="1"/>
  <c r="F67" i="1"/>
  <c r="G67" i="1" s="1"/>
  <c r="F66" i="1"/>
  <c r="G66" i="1" s="1"/>
  <c r="F65" i="1"/>
  <c r="F64" i="1"/>
  <c r="F63" i="1"/>
  <c r="G63" i="1" s="1"/>
  <c r="F62" i="1"/>
  <c r="F61" i="1"/>
  <c r="G61" i="1" s="1"/>
  <c r="F60" i="1"/>
  <c r="G60" i="1" s="1"/>
  <c r="C51" i="7" s="1"/>
  <c r="F59" i="1"/>
  <c r="F58" i="1"/>
  <c r="G58" i="1" s="1"/>
  <c r="F57" i="1"/>
  <c r="G57" i="1" s="1"/>
  <c r="F56" i="1"/>
  <c r="G56" i="1" s="1"/>
  <c r="F55" i="1"/>
  <c r="G55" i="1" s="1"/>
  <c r="F54" i="1"/>
  <c r="G54" i="1" s="1"/>
  <c r="F53" i="1"/>
  <c r="F52" i="1"/>
  <c r="G52" i="1" s="1"/>
  <c r="C43" i="7" s="1"/>
  <c r="F51" i="1"/>
  <c r="F50" i="1"/>
  <c r="G50" i="1" s="1"/>
  <c r="F49" i="1"/>
  <c r="G49" i="1" s="1"/>
  <c r="F48" i="1"/>
  <c r="F47" i="1"/>
  <c r="G47" i="1" s="1"/>
  <c r="F46" i="1"/>
  <c r="G46" i="1" s="1"/>
  <c r="F45" i="1"/>
  <c r="F44" i="1"/>
  <c r="G44" i="1" s="1"/>
  <c r="F43" i="1"/>
  <c r="G43" i="1" s="1"/>
  <c r="F42" i="1"/>
  <c r="G42" i="1" s="1"/>
  <c r="F41" i="1"/>
  <c r="G41" i="1" s="1"/>
  <c r="F40" i="1"/>
  <c r="F39" i="1"/>
  <c r="F38" i="1"/>
  <c r="F37" i="1"/>
  <c r="F36" i="1"/>
  <c r="G36" i="1" s="1"/>
  <c r="F35" i="1"/>
  <c r="F34" i="1"/>
  <c r="G34" i="1" s="1"/>
  <c r="F33" i="1"/>
  <c r="G33" i="1" s="1"/>
  <c r="F32" i="1"/>
  <c r="G32" i="1" s="1"/>
  <c r="F31" i="1"/>
  <c r="G31" i="1" s="1"/>
  <c r="F30" i="1"/>
  <c r="G30" i="1" s="1"/>
  <c r="C21" i="7" s="1"/>
  <c r="F29" i="1"/>
  <c r="F28" i="1"/>
  <c r="G28" i="1" s="1"/>
  <c r="F27" i="1"/>
  <c r="F26" i="1"/>
  <c r="G26" i="1" s="1"/>
  <c r="F25" i="1"/>
  <c r="G25" i="1" s="1"/>
  <c r="F24" i="1"/>
  <c r="G24" i="1" s="1"/>
  <c r="F23" i="1"/>
  <c r="G23" i="1" s="1"/>
  <c r="C14" i="7" s="1"/>
  <c r="F22" i="1"/>
  <c r="F21" i="1"/>
  <c r="G21" i="1" s="1"/>
  <c r="C12" i="7" s="1"/>
  <c r="F20" i="1"/>
  <c r="F19" i="1"/>
  <c r="F16" i="1"/>
  <c r="F15" i="1"/>
  <c r="F14" i="1"/>
  <c r="G14" i="1" s="1"/>
  <c r="C5" i="7" s="1"/>
  <c r="F13" i="1"/>
  <c r="K1" i="1"/>
  <c r="J1" i="1"/>
  <c r="Q1" i="8"/>
  <c r="G180" i="7" l="1"/>
  <c r="G7" i="7"/>
  <c r="G39" i="7"/>
  <c r="G56" i="3"/>
  <c r="G47" i="7" s="1"/>
  <c r="F203" i="3"/>
  <c r="G63" i="7"/>
  <c r="G56" i="7"/>
  <c r="G53" i="7"/>
  <c r="G181" i="7"/>
  <c r="G51" i="7"/>
  <c r="G36" i="7"/>
  <c r="G156" i="7"/>
  <c r="G172" i="7"/>
  <c r="G61" i="7"/>
  <c r="G30" i="7"/>
  <c r="G62" i="7"/>
  <c r="G78" i="7"/>
  <c r="G166" i="7"/>
  <c r="G45" i="7"/>
  <c r="G54" i="7"/>
  <c r="G8" i="7"/>
  <c r="G48" i="7"/>
  <c r="G104" i="7"/>
  <c r="G176" i="7"/>
  <c r="G65" i="7"/>
  <c r="G89" i="7"/>
  <c r="G10" i="7"/>
  <c r="G42" i="7"/>
  <c r="G50" i="7"/>
  <c r="G58" i="7"/>
  <c r="G66" i="7"/>
  <c r="G162" i="7"/>
  <c r="G164" i="7"/>
  <c r="G5" i="7"/>
  <c r="G37" i="7"/>
  <c r="G133" i="7"/>
  <c r="G57" i="7"/>
  <c r="G97" i="7"/>
  <c r="G11" i="7"/>
  <c r="G43" i="7"/>
  <c r="G83" i="7"/>
  <c r="G155" i="7"/>
  <c r="G179" i="7"/>
  <c r="G6" i="7"/>
  <c r="G46" i="7"/>
  <c r="G134" i="7"/>
  <c r="G174" i="7"/>
  <c r="G55" i="7"/>
  <c r="G79" i="7"/>
  <c r="G87" i="7"/>
  <c r="G135" i="7"/>
  <c r="G175" i="7"/>
  <c r="C180" i="7"/>
  <c r="C175" i="7"/>
  <c r="C176" i="7"/>
  <c r="C52" i="7"/>
  <c r="C76" i="7"/>
  <c r="C61" i="7"/>
  <c r="C109" i="7"/>
  <c r="C38" i="7"/>
  <c r="C23" i="7"/>
  <c r="C139" i="7"/>
  <c r="C60" i="7"/>
  <c r="C124" i="7"/>
  <c r="C45" i="7"/>
  <c r="C86" i="7"/>
  <c r="C102" i="7"/>
  <c r="C97" i="7"/>
  <c r="C125" i="7"/>
  <c r="C70" i="7"/>
  <c r="C166" i="7"/>
  <c r="C63" i="7"/>
  <c r="C135" i="7"/>
  <c r="C40" i="7"/>
  <c r="C80" i="7"/>
  <c r="C112" i="7"/>
  <c r="C19" i="7"/>
  <c r="C35" i="7"/>
  <c r="C91" i="7"/>
  <c r="C163" i="7"/>
  <c r="C46" i="7"/>
  <c r="C48" i="7"/>
  <c r="C104" i="7"/>
  <c r="C160" i="7"/>
  <c r="C33" i="7"/>
  <c r="C41" i="7"/>
  <c r="C57" i="7"/>
  <c r="C121" i="7"/>
  <c r="C153" i="7"/>
  <c r="C161" i="7"/>
  <c r="C177" i="7"/>
  <c r="C164" i="7"/>
  <c r="C173" i="7"/>
  <c r="C54" i="7"/>
  <c r="C103" i="7"/>
  <c r="C119" i="7"/>
  <c r="C167" i="7"/>
  <c r="C32" i="7"/>
  <c r="C64" i="7"/>
  <c r="C88" i="7"/>
  <c r="C17" i="7"/>
  <c r="C58" i="7"/>
  <c r="C66" i="7"/>
  <c r="C106" i="7"/>
  <c r="C154" i="7"/>
  <c r="C162" i="7"/>
  <c r="C170" i="7"/>
  <c r="Y1" i="5"/>
  <c r="E20" i="5"/>
  <c r="I11" i="7" s="1"/>
  <c r="G193" i="1"/>
  <c r="C184" i="7" s="1"/>
  <c r="G194" i="1"/>
  <c r="C149" i="7" s="1"/>
  <c r="F203" i="4"/>
  <c r="G192" i="1"/>
  <c r="C183" i="7" s="1"/>
  <c r="G188" i="1"/>
  <c r="C179" i="7" s="1"/>
  <c r="G191" i="1"/>
  <c r="C182" i="7" s="1"/>
  <c r="H194" i="7"/>
  <c r="G203" i="4"/>
  <c r="E197" i="10"/>
  <c r="F199" i="1"/>
  <c r="E11" i="7"/>
  <c r="E194" i="7" s="1"/>
  <c r="G25" i="3"/>
  <c r="G16" i="7" s="1"/>
  <c r="G34" i="3"/>
  <c r="G25" i="7" s="1"/>
  <c r="G43" i="3"/>
  <c r="G34" i="7" s="1"/>
  <c r="G81" i="3"/>
  <c r="G72" i="7" s="1"/>
  <c r="G83" i="3"/>
  <c r="G74" i="7" s="1"/>
  <c r="G85" i="3"/>
  <c r="G76" i="7" s="1"/>
  <c r="G103" i="3"/>
  <c r="G94" i="7" s="1"/>
  <c r="G109" i="3"/>
  <c r="G100" i="7" s="1"/>
  <c r="G111" i="3"/>
  <c r="G139" i="7" s="1"/>
  <c r="G116" i="3"/>
  <c r="G107" i="7" s="1"/>
  <c r="G118" i="3"/>
  <c r="G109" i="7" s="1"/>
  <c r="G120" i="3"/>
  <c r="G111" i="7" s="1"/>
  <c r="G132" i="3"/>
  <c r="G123" i="7" s="1"/>
  <c r="G136" i="3"/>
  <c r="G140" i="3"/>
  <c r="G131" i="7" s="1"/>
  <c r="G159" i="3"/>
  <c r="G150" i="7" s="1"/>
  <c r="G163" i="3"/>
  <c r="G169" i="3"/>
  <c r="G160" i="7" s="1"/>
  <c r="G26" i="3"/>
  <c r="G17" i="7" s="1"/>
  <c r="G33" i="3"/>
  <c r="G24" i="7" s="1"/>
  <c r="G35" i="3"/>
  <c r="G26" i="7" s="1"/>
  <c r="G44" i="3"/>
  <c r="G35" i="7" s="1"/>
  <c r="G78" i="3"/>
  <c r="G69" i="7" s="1"/>
  <c r="G82" i="3"/>
  <c r="G73" i="7" s="1"/>
  <c r="G86" i="3"/>
  <c r="G129" i="7" s="1"/>
  <c r="G110" i="3"/>
  <c r="G115" i="3"/>
  <c r="G106" i="7" s="1"/>
  <c r="G117" i="3"/>
  <c r="G108" i="7" s="1"/>
  <c r="G119" i="3"/>
  <c r="G110" i="7" s="1"/>
  <c r="G121" i="3"/>
  <c r="G112" i="7" s="1"/>
  <c r="G124" i="7"/>
  <c r="G137" i="3"/>
  <c r="G128" i="7" s="1"/>
  <c r="G141" i="3"/>
  <c r="G132" i="7" s="1"/>
  <c r="G152" i="3"/>
  <c r="G163" i="7" s="1"/>
  <c r="G166" i="3"/>
  <c r="G169" i="7" s="1"/>
  <c r="G168" i="3"/>
  <c r="G159" i="7" s="1"/>
  <c r="G182" i="3"/>
  <c r="G173" i="7" s="1"/>
  <c r="G167" i="3"/>
  <c r="G158" i="7" s="1"/>
  <c r="G79" i="3"/>
  <c r="G70" i="7" s="1"/>
  <c r="G24" i="3"/>
  <c r="G23" i="3"/>
  <c r="G14" i="7" s="1"/>
  <c r="D197" i="5"/>
  <c r="G122" i="3"/>
  <c r="G113" i="7" s="1"/>
  <c r="G90" i="3"/>
  <c r="G81" i="7" s="1"/>
  <c r="G84" i="3"/>
  <c r="G75" i="7" s="1"/>
  <c r="G183" i="1"/>
  <c r="C174" i="7" s="1"/>
  <c r="G180" i="1"/>
  <c r="C171" i="7" s="1"/>
  <c r="G153" i="1"/>
  <c r="C122" i="7" s="1"/>
  <c r="G141" i="1"/>
  <c r="C132" i="7" s="1"/>
  <c r="G122" i="1"/>
  <c r="C113" i="7" s="1"/>
  <c r="G108" i="1"/>
  <c r="G98" i="1"/>
  <c r="C89" i="7" s="1"/>
  <c r="G90" i="1"/>
  <c r="C74" i="7" s="1"/>
  <c r="G87" i="1"/>
  <c r="C72" i="7" s="1"/>
  <c r="G84" i="1"/>
  <c r="C75" i="7" s="1"/>
  <c r="G59" i="1"/>
  <c r="G53" i="1"/>
  <c r="G51" i="1"/>
  <c r="C42" i="7" s="1"/>
  <c r="G45" i="1"/>
  <c r="C36" i="7" s="1"/>
  <c r="G40" i="1"/>
  <c r="G37" i="1"/>
  <c r="C28" i="7" s="1"/>
  <c r="G35" i="1"/>
  <c r="C22" i="7" s="1"/>
  <c r="E77" i="5"/>
  <c r="G177" i="3"/>
  <c r="G168" i="7" s="1"/>
  <c r="G129" i="3"/>
  <c r="G120" i="7" s="1"/>
  <c r="G126" i="3"/>
  <c r="G117" i="7" s="1"/>
  <c r="G123" i="3"/>
  <c r="G114" i="7" s="1"/>
  <c r="G104" i="3"/>
  <c r="G95" i="7" s="1"/>
  <c r="G102" i="3"/>
  <c r="G80" i="3"/>
  <c r="G27" i="3"/>
  <c r="G18" i="7" s="1"/>
  <c r="G187" i="1"/>
  <c r="C178" i="7" s="1"/>
  <c r="G178" i="1"/>
  <c r="C169" i="7" s="1"/>
  <c r="G177" i="1"/>
  <c r="C168" i="7" s="1"/>
  <c r="G168" i="1"/>
  <c r="C159" i="7" s="1"/>
  <c r="G161" i="1"/>
  <c r="C152" i="7" s="1"/>
  <c r="G160" i="1"/>
  <c r="C151" i="7" s="1"/>
  <c r="G154" i="1"/>
  <c r="C145" i="7" s="1"/>
  <c r="G149" i="1"/>
  <c r="G146" i="1"/>
  <c r="C115" i="7" s="1"/>
  <c r="G145" i="1"/>
  <c r="C136" i="7" s="1"/>
  <c r="G140" i="1"/>
  <c r="C131" i="7" s="1"/>
  <c r="G137" i="1"/>
  <c r="G129" i="1"/>
  <c r="C101" i="7" s="1"/>
  <c r="G127" i="1"/>
  <c r="G126" i="1"/>
  <c r="C117" i="7" s="1"/>
  <c r="G125" i="1"/>
  <c r="C116" i="7" s="1"/>
  <c r="G123" i="1"/>
  <c r="G120" i="1"/>
  <c r="C111" i="7" s="1"/>
  <c r="G119" i="1"/>
  <c r="C110" i="7" s="1"/>
  <c r="G114" i="1"/>
  <c r="C105" i="7" s="1"/>
  <c r="G105" i="1"/>
  <c r="C84" i="7" s="1"/>
  <c r="G104" i="1"/>
  <c r="G103" i="1"/>
  <c r="C94" i="7" s="1"/>
  <c r="G102" i="1"/>
  <c r="G99" i="1"/>
  <c r="G88" i="1"/>
  <c r="C79" i="7" s="1"/>
  <c r="G80" i="1"/>
  <c r="C71" i="7" s="1"/>
  <c r="G77" i="1"/>
  <c r="C68" i="7" s="1"/>
  <c r="G65" i="1"/>
  <c r="C56" i="7" s="1"/>
  <c r="G64" i="1"/>
  <c r="C55" i="7" s="1"/>
  <c r="G62" i="1"/>
  <c r="C53" i="7" s="1"/>
  <c r="G48" i="1"/>
  <c r="C34" i="7" s="1"/>
  <c r="G38" i="1"/>
  <c r="C29" i="7" s="1"/>
  <c r="G29" i="1"/>
  <c r="C20" i="7" s="1"/>
  <c r="G27" i="1"/>
  <c r="C18" i="7" s="1"/>
  <c r="G22" i="1"/>
  <c r="C13" i="7" s="1"/>
  <c r="G20" i="1"/>
  <c r="C9" i="7" s="1"/>
  <c r="G19" i="1"/>
  <c r="G15" i="1"/>
  <c r="C6" i="7" s="1"/>
  <c r="G151" i="1"/>
  <c r="G39" i="1"/>
  <c r="C30" i="7" s="1"/>
  <c r="G16" i="1"/>
  <c r="C7" i="7" s="1"/>
  <c r="G13" i="7"/>
  <c r="G13" i="1"/>
  <c r="C4" i="7" s="1"/>
  <c r="D199" i="8"/>
  <c r="G203" i="3" l="1"/>
  <c r="G127" i="7"/>
  <c r="G148" i="7"/>
  <c r="G152" i="7"/>
  <c r="G171" i="7"/>
  <c r="G64" i="7"/>
  <c r="G4" i="7"/>
  <c r="G157" i="7"/>
  <c r="G147" i="7"/>
  <c r="G143" i="7"/>
  <c r="G101" i="7"/>
  <c r="G146" i="7"/>
  <c r="G145" i="7"/>
  <c r="G153" i="7"/>
  <c r="G77" i="7"/>
  <c r="G154" i="7"/>
  <c r="G102" i="7"/>
  <c r="G141" i="7"/>
  <c r="G138" i="7"/>
  <c r="G142" i="7"/>
  <c r="G71" i="7"/>
  <c r="G93" i="7"/>
  <c r="G170" i="7"/>
  <c r="G15" i="7"/>
  <c r="G29" i="7"/>
  <c r="G90" i="7"/>
  <c r="G178" i="7"/>
  <c r="G52" i="7"/>
  <c r="C31" i="7"/>
  <c r="C73" i="7"/>
  <c r="C118" i="7"/>
  <c r="C69" i="7"/>
  <c r="C128" i="7"/>
  <c r="C98" i="7"/>
  <c r="C99" i="7"/>
  <c r="C82" i="7"/>
  <c r="C47" i="7"/>
  <c r="C44" i="7"/>
  <c r="C142" i="7"/>
  <c r="C140" i="7"/>
  <c r="C50" i="7"/>
  <c r="C24" i="7"/>
  <c r="C107" i="7"/>
  <c r="C16" i="7"/>
  <c r="C90" i="7"/>
  <c r="C137" i="7"/>
  <c r="C10" i="7"/>
  <c r="C8" i="7"/>
  <c r="C95" i="7"/>
  <c r="C26" i="7"/>
  <c r="C78" i="7"/>
  <c r="C146" i="7"/>
  <c r="C15" i="7"/>
  <c r="C147" i="7"/>
  <c r="C100" i="7"/>
  <c r="C11" i="7"/>
  <c r="C96" i="7"/>
  <c r="C120" i="7"/>
  <c r="C81" i="7"/>
  <c r="C138" i="7"/>
  <c r="C25" i="7"/>
  <c r="C62" i="7"/>
  <c r="C123" i="7"/>
  <c r="C37" i="7"/>
  <c r="C65" i="7"/>
  <c r="C133" i="7"/>
  <c r="C114" i="7"/>
  <c r="C83" i="7"/>
  <c r="C39" i="7"/>
  <c r="C93" i="7"/>
  <c r="C144" i="7"/>
  <c r="C49" i="7"/>
  <c r="C92" i="7"/>
  <c r="C127" i="7"/>
  <c r="C77" i="7"/>
  <c r="C143" i="7"/>
  <c r="C87" i="7"/>
  <c r="C27" i="7"/>
  <c r="C148" i="7"/>
  <c r="G199" i="1"/>
  <c r="C186" i="7"/>
  <c r="C191" i="7"/>
  <c r="C192" i="7"/>
  <c r="I68" i="7"/>
  <c r="I194" i="7" s="1"/>
  <c r="E197" i="5"/>
  <c r="G194" i="7" l="1"/>
  <c r="C185" i="7"/>
  <c r="C194" i="7" s="1"/>
  <c r="F194" i="7"/>
</calcChain>
</file>

<file path=xl/comments1.xml><?xml version="1.0" encoding="utf-8"?>
<comments xmlns="http://schemas.openxmlformats.org/spreadsheetml/2006/main">
  <authors>
    <author>Moreno, Sharon</author>
    <author>Mosness, Ron</author>
  </authors>
  <commentList>
    <comment ref="R90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Processed in June</t>
        </r>
      </text>
    </comment>
    <comment ref="X90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Overpayment of $963,382. Jeffco will be sending a check.</t>
        </r>
      </text>
    </comment>
    <comment ref="Q146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$50,857 was reqst'd in March, but was not paid. sm</t>
        </r>
      </text>
    </comment>
  </commentList>
</comments>
</file>

<file path=xl/comments2.xml><?xml version="1.0" encoding="utf-8"?>
<comments xmlns="http://schemas.openxmlformats.org/spreadsheetml/2006/main">
  <authors>
    <author>Tim Kahle</author>
    <author>Moreno, Sharon</author>
    <author>Dake, Nicole</author>
  </authors>
  <commentList>
    <comment ref="R78" authorId="0">
      <text>
        <r>
          <rPr>
            <b/>
            <sz val="8"/>
            <color indexed="81"/>
            <rFont val="Tahoma"/>
            <family val="2"/>
          </rPr>
          <t>Refund of cash on hand.</t>
        </r>
      </text>
    </comment>
    <comment ref="M90" authorId="0">
      <text>
        <r>
          <rPr>
            <b/>
            <sz val="9"/>
            <color indexed="81"/>
            <rFont val="Tahoma"/>
            <charset val="1"/>
          </rPr>
          <t>Moved $90,164 to FY12-13 to correct issue caused in carryover from $323,288 refund of cash on hand in FY1213. TK</t>
        </r>
      </text>
    </comment>
    <comment ref="N90" authorId="0">
      <text>
        <r>
          <rPr>
            <b/>
            <sz val="9"/>
            <color indexed="81"/>
            <rFont val="Tahoma"/>
            <charset val="1"/>
          </rPr>
          <t>Moved $203,946 to FY12-13 to correct issue caused in carryover from $323,288 refund of cash on hand in FY1213. TK</t>
        </r>
      </text>
    </comment>
    <comment ref="P90" authorId="0">
      <text>
        <r>
          <rPr>
            <b/>
            <sz val="9"/>
            <color indexed="81"/>
            <rFont val="Tahoma"/>
            <charset val="1"/>
          </rPr>
          <t>Moved $29,178 to FY12-13 to correct issue caused in carryover from $323,288 refund of cash on hand in FY1213. TK</t>
        </r>
      </text>
    </comment>
    <comment ref="W90" authorId="0">
      <text>
        <r>
          <rPr>
            <b/>
            <sz val="9"/>
            <color indexed="81"/>
            <rFont val="Tahoma"/>
            <charset val="1"/>
          </rPr>
          <t>Moved $171,364 from FY14-15 to correct issue caused in carryover from $323,288 refund of cash on hand in FY1213. TK</t>
        </r>
      </text>
    </comment>
    <comment ref="X90" authorId="0">
      <text>
        <r>
          <rPr>
            <b/>
            <sz val="9"/>
            <color indexed="81"/>
            <rFont val="Tahoma"/>
            <charset val="1"/>
          </rPr>
          <t>Moved $151,924 from FY14-15 to correct issue caused in carryover from $323,288 refund of cash on hand in FY1213. TK</t>
        </r>
      </text>
    </comment>
    <comment ref="S106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Funds returned to II-D ARAA, not II-A where they belong. See PDF dtd 6-12-13</t>
        </r>
      </text>
    </comment>
    <comment ref="P132" authorId="2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Correction, was first charged to Title I-A and changed.
</t>
        </r>
      </text>
    </comment>
    <comment ref="W149" authorId="0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Adjustment made due to 9-15-14RFF and 10-2-15RFF being booked incorrectly.  District had remaining funds in FY12-13 monies which needed to be utilized first.</t>
        </r>
      </text>
    </comment>
    <comment ref="O197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This was paid in March</t>
        </r>
      </text>
    </comment>
  </commentList>
</comments>
</file>

<file path=xl/comments3.xml><?xml version="1.0" encoding="utf-8"?>
<comments xmlns="http://schemas.openxmlformats.org/spreadsheetml/2006/main">
  <authors>
    <author>Dake, Nicole</author>
    <author>Moreno, Sharon</author>
  </authors>
  <commentList>
    <comment ref="Z24" author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Journal Correction - payment in 1/14 paid out of wrong GBL.</t>
        </r>
      </text>
    </comment>
    <comment ref="S66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$11,087 but added $9 to close out FY13. Total RFF paid = $11,096</t>
        </r>
      </text>
    </comment>
    <comment ref="S85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$7,320 but added $9 to close out FY13. Total RFF paid = $7,329.</t>
        </r>
      </text>
    </comment>
    <comment ref="S104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$520 but added $51 to close out FY13. Total RFF paid = $571.</t>
        </r>
      </text>
    </comment>
    <comment ref="S122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$3,318 but added $14 to close out FY13. Total RFF paid = $3,332</t>
        </r>
      </text>
    </comment>
    <comment ref="S144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$6,125 but added $11 to close out FY13. Total RFF paid = $6,136.</t>
        </r>
      </text>
    </comment>
    <comment ref="S157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$10,881 but added $10 to close out FY13. Total RFF paid = $10,891.</t>
        </r>
      </text>
    </comment>
    <comment ref="S179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$17,725 but added $15 to close out FY13. Total RFF paid = $17,740.</t>
        </r>
      </text>
    </comment>
    <comment ref="R196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Funds were requested on wrong form -this is paid in GPS. Has NOT been paid. sm</t>
        </r>
      </text>
    </comment>
    <comment ref="S196" authorId="1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Reqst'd $10,088 but added $23 to close out FY13. Total RFF paid = $10,111.</t>
        </r>
      </text>
    </comment>
  </commentList>
</comments>
</file>

<file path=xl/comments4.xml><?xml version="1.0" encoding="utf-8"?>
<comments xmlns="http://schemas.openxmlformats.org/spreadsheetml/2006/main">
  <authors>
    <author>Dake, Nicole</author>
    <author>Mosness, Ron</author>
  </authors>
  <commentList>
    <comment ref="Z24" authorId="0">
      <text>
        <r>
          <rPr>
            <b/>
            <sz val="9"/>
            <color indexed="81"/>
            <rFont val="Tahoma"/>
            <family val="2"/>
          </rPr>
          <t>Dake, Nicole:</t>
        </r>
        <r>
          <rPr>
            <sz val="9"/>
            <color indexed="81"/>
            <rFont val="Tahoma"/>
            <family val="2"/>
          </rPr>
          <t xml:space="preserve">
64,799 is a JV correction.  Payment originally made from wrong GBL.</t>
        </r>
      </text>
    </comment>
    <comment ref="AG191" authorId="1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Requested from Title III FY15 intended for SAI FY14 per Allegra M</t>
        </r>
      </text>
    </comment>
  </commentList>
</comments>
</file>

<file path=xl/comments5.xml><?xml version="1.0" encoding="utf-8"?>
<comments xmlns="http://schemas.openxmlformats.org/spreadsheetml/2006/main">
  <authors>
    <author>Moreno, Sharon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Moreno, Sharon:</t>
        </r>
        <r>
          <rPr>
            <sz val="8"/>
            <color indexed="81"/>
            <rFont val="Tahoma"/>
            <family val="2"/>
          </rPr>
          <t xml:space="preserve">
Allocs agree with Adb. @ 4-2-13</t>
        </r>
      </text>
    </comment>
  </commentList>
</comments>
</file>

<file path=xl/sharedStrings.xml><?xml version="1.0" encoding="utf-8"?>
<sst xmlns="http://schemas.openxmlformats.org/spreadsheetml/2006/main" count="2752" uniqueCount="510">
  <si>
    <t>Grant:</t>
  </si>
  <si>
    <t>CFDA #</t>
  </si>
  <si>
    <t>FISCAL YEAR:</t>
  </si>
  <si>
    <t>2011-12</t>
  </si>
  <si>
    <t>GRANT NUMBER:</t>
  </si>
  <si>
    <t xml:space="preserve">Questions regarding grant: </t>
  </si>
  <si>
    <t>Marti Rodriguez  303-866-6769 or rodriguez_m@cde.state.co.us</t>
  </si>
  <si>
    <t>Title I-A Formula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</si>
  <si>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</si>
  <si>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</si>
  <si>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</si>
  <si>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</si>
  <si>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</si>
  <si>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</si>
  <si>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</si>
  <si>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</si>
  <si>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</si>
  <si>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</si>
  <si>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</si>
  <si>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</si>
  <si>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</si>
  <si>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</si>
  <si>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</si>
  <si>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</si>
  <si>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</si>
  <si>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</si>
  <si>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</si>
  <si>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</si>
  <si>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</si>
  <si>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</si>
  <si>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</si>
  <si>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</si>
  <si>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</si>
  <si>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</si>
  <si>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</si>
  <si>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</si>
  <si>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</si>
  <si>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</si>
  <si>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</si>
  <si>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</si>
  <si>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</si>
  <si>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</si>
  <si>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</si>
  <si>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</si>
  <si>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</si>
  <si>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</si>
  <si>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</si>
  <si>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</si>
  <si>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</si>
  <si>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</si>
  <si>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</si>
  <si>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</si>
  <si>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</si>
  <si>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</si>
  <si>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</si>
  <si>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</si>
  <si>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</si>
  <si>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</si>
  <si>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</si>
  <si>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</si>
  <si>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</si>
  <si>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</si>
  <si>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</si>
  <si>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</si>
  <si>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</si>
  <si>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</si>
  <si>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</si>
  <si>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</si>
  <si>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</si>
  <si>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</si>
  <si>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</si>
  <si>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</si>
  <si>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</si>
  <si>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</si>
  <si>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</si>
  <si>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</si>
  <si>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</si>
  <si>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</si>
  <si>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</si>
  <si>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</si>
  <si>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</si>
  <si>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</si>
  <si>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</si>
  <si>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</si>
  <si>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</si>
  <si>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</si>
  <si>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</si>
  <si>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</si>
  <si>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</si>
  <si>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</si>
  <si>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</si>
  <si>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</si>
  <si>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</si>
  <si>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</si>
  <si>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</si>
  <si>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</si>
  <si>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</si>
  <si>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</si>
  <si>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</si>
  <si>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</si>
  <si>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</si>
  <si>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</si>
  <si>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</si>
  <si>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</si>
  <si>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</si>
  <si>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</si>
  <si>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</si>
  <si>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</si>
  <si>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</si>
  <si>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</si>
  <si>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</si>
  <si>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</si>
  <si>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</si>
  <si>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</si>
  <si>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</si>
  <si>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</si>
  <si>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</si>
  <si>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</si>
  <si>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</si>
  <si>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</si>
  <si>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</si>
  <si>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</si>
  <si>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</si>
  <si>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</si>
  <si>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</si>
  <si>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</si>
  <si>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</si>
  <si>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</si>
  <si>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</si>
  <si>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</si>
  <si>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</si>
  <si>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</si>
  <si>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</si>
  <si>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</si>
  <si>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</si>
  <si>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</si>
  <si>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</si>
  <si>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</si>
  <si>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</si>
  <si>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</si>
  <si>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</si>
  <si>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</si>
  <si>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</si>
  <si>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</si>
  <si>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</si>
  <si>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</si>
  <si>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</si>
  <si>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</si>
  <si>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</si>
  <si>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</si>
  <si>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</si>
  <si>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</si>
  <si>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</si>
  <si>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</si>
  <si>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</si>
  <si>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</si>
  <si>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</si>
  <si>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</si>
  <si>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</si>
  <si>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</si>
  <si>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</si>
  <si>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</si>
  <si>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</si>
  <si>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</si>
  <si>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</si>
  <si>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</si>
  <si>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</si>
  <si>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</si>
  <si>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</si>
  <si>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</si>
  <si>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</si>
  <si>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</si>
  <si>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</si>
  <si>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</si>
  <si>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</si>
  <si>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</si>
  <si>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</si>
  <si>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</si>
  <si>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</si>
  <si>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</si>
  <si>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</si>
  <si>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</si>
  <si>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</si>
  <si>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</si>
  <si>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</si>
  <si>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</si>
  <si>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</si>
  <si>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</si>
  <si>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</si>
  <si>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</si>
  <si>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</si>
  <si>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</si>
  <si>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</si>
  <si>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</si>
  <si>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</si>
  <si>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</si>
  <si>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</si>
  <si>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</si>
  <si>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</si>
  <si>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</si>
  <si>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</si>
  <si>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</si>
  <si>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</si>
  <si>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</si>
  <si>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</si>
  <si>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</si>
  <si>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</si>
  <si>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</si>
  <si>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</si>
  <si>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</si>
  <si>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</si>
  <si>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</si>
  <si>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</si>
  <si>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</si>
  <si>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</si>
  <si>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</si>
  <si>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</si>
  <si>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</si>
  <si>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</si>
  <si>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</si>
  <si>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</si>
  <si>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</si>
  <si>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</si>
  <si>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</si>
  <si>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</si>
  <si>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</si>
  <si>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</si>
  <si>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</si>
  <si>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</si>
  <si>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</si>
  <si>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</si>
  <si>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</si>
  <si>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</si>
  <si>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</si>
  <si>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</si>
  <si>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</si>
  <si>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</si>
  <si>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</si>
  <si>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</si>
  <si>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</si>
  <si>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</si>
  <si>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</si>
  <si>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</si>
  <si>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</si>
  <si>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</si>
  <si>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</si>
  <si>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</si>
  <si>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</si>
  <si>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</si>
  <si>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</si>
  <si>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</si>
  <si>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</si>
  <si>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</si>
  <si>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</si>
  <si>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</si>
  <si>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</si>
  <si>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</si>
  <si>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</si>
  <si>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</si>
  <si>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</si>
  <si>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</si>
  <si>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</si>
  <si>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</si>
  <si>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</si>
  <si>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</si>
  <si>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</si>
  <si>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</si>
  <si>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</si>
  <si>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</si>
  <si>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</si>
  <si>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</si>
  <si>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</si>
  <si>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</si>
  <si>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</si>
  <si>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</si>
  <si>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</si>
  <si>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</si>
  <si>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</si>
  <si>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</si>
  <si>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</si>
  <si>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</si>
  <si>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 xml:space="preserve">Aguilar Reorganized 6 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</si>
  <si>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</si>
  <si>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</si>
  <si>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</si>
  <si>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</si>
  <si>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</si>
  <si>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</si>
  <si>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</si>
  <si>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</si>
  <si>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</si>
  <si>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</si>
  <si>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</si>
  <si>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</si>
  <si>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</si>
  <si>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</si>
  <si>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</si>
  <si>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</si>
  <si>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</si>
  <si>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</si>
  <si>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</si>
  <si>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</si>
  <si>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</si>
  <si>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</si>
  <si>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</si>
  <si>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</si>
  <si>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</si>
  <si>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</si>
  <si>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</si>
  <si>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</si>
  <si>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</si>
  <si>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</si>
  <si>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</si>
  <si>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</si>
  <si>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</si>
  <si>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</si>
  <si>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</si>
  <si>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</si>
  <si>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</si>
  <si>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</si>
  <si>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</si>
  <si>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</si>
  <si>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</si>
  <si>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</si>
  <si>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</si>
  <si>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</si>
  <si>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</si>
  <si>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</si>
  <si>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</si>
  <si>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</si>
  <si>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</si>
  <si>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</si>
  <si>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</si>
  <si>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</si>
  <si>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</si>
  <si>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</si>
  <si>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</si>
  <si>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</si>
  <si>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</si>
  <si>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</si>
  <si>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</si>
  <si>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</si>
  <si>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</si>
  <si>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</si>
  <si>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</si>
  <si>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</si>
  <si>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</si>
  <si>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</si>
  <si>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</si>
  <si>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</si>
  <si>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Keenesburg Re-3(J)</t>
  </si>
  <si>
    <t>Windsor Re-4</t>
  </si>
  <si>
    <t>Weld County SD Re-5J</t>
  </si>
  <si>
    <t>Greeley 6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</si>
  <si>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</si>
  <si>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</si>
  <si>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</si>
  <si>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</si>
  <si>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</si>
  <si>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</si>
  <si>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</si>
  <si>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</si>
  <si>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</si>
  <si>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</si>
  <si>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*</t>
  </si>
  <si>
    <t>CSI</t>
  </si>
  <si>
    <t>CSDB</t>
  </si>
  <si>
    <t>9000</t>
  </si>
  <si>
    <t>84.010</t>
  </si>
  <si>
    <t xml:space="preserve">Robert Hawkins 303-866-6775 or hawkins_r@cde.state.co.us </t>
  </si>
  <si>
    <t>Code</t>
  </si>
  <si>
    <t>District</t>
  </si>
  <si>
    <t>Allocation</t>
  </si>
  <si>
    <t>Payments to Date</t>
  </si>
  <si>
    <t>Balance of Grant</t>
  </si>
  <si>
    <t>9025</t>
  </si>
  <si>
    <t>9035</t>
  </si>
  <si>
    <t>9040</t>
  </si>
  <si>
    <t>9095</t>
  </si>
  <si>
    <t>9125</t>
  </si>
  <si>
    <t>East Central BOCES</t>
  </si>
  <si>
    <t xml:space="preserve">Centennial BOCES </t>
  </si>
  <si>
    <t>Northeast BOCES</t>
  </si>
  <si>
    <t>Northwest BOCES</t>
  </si>
  <si>
    <t>Rio Blanco BOCES</t>
  </si>
  <si>
    <t>July 2013</t>
  </si>
  <si>
    <t>August 2013</t>
  </si>
  <si>
    <t>September 2013</t>
  </si>
  <si>
    <t>GBL/ORG</t>
  </si>
  <si>
    <t>PAYMENTS PROCESSED:</t>
  </si>
  <si>
    <t>1ST OF EACH MONTH</t>
  </si>
  <si>
    <t>Title I-D Delinquent</t>
  </si>
  <si>
    <t xml:space="preserve">7010 for LEA   </t>
  </si>
  <si>
    <t>Title I-C Migrant</t>
  </si>
  <si>
    <t>Signed Over to BOCES</t>
  </si>
  <si>
    <t>Kit Carson R-1*</t>
  </si>
  <si>
    <t xml:space="preserve"> </t>
  </si>
  <si>
    <t>SCBOCES</t>
  </si>
  <si>
    <t>Aspen 1*</t>
  </si>
  <si>
    <t>Declined Funds</t>
  </si>
  <si>
    <t>Title II-A Formula</t>
  </si>
  <si>
    <t>84.365</t>
  </si>
  <si>
    <t>Title III-A Formula</t>
  </si>
  <si>
    <t>Title III-A SAI Formula</t>
  </si>
  <si>
    <t>Title I-Delinquent</t>
  </si>
  <si>
    <t>Title II-A</t>
  </si>
  <si>
    <t>Title III</t>
  </si>
  <si>
    <t>Title III-SAI</t>
  </si>
  <si>
    <t>Title VI</t>
  </si>
  <si>
    <t>Branson Reorganized 82*</t>
  </si>
  <si>
    <t>Title VI Rural Low Income Formula</t>
  </si>
  <si>
    <t>Julesburg Re-1*</t>
  </si>
  <si>
    <t>San Juan BOCES</t>
  </si>
  <si>
    <t>San Luis Valley BOCES</t>
  </si>
  <si>
    <t>South Central BOCES</t>
  </si>
  <si>
    <t>Southeastern Colorado BOCES</t>
  </si>
  <si>
    <t>Buena Vista R-31*</t>
  </si>
  <si>
    <t>Clear Creek Re-1*</t>
  </si>
  <si>
    <t>Calhan RJ-1*</t>
  </si>
  <si>
    <t>Ellicott 22*</t>
  </si>
  <si>
    <t>Peyton 23 Jt*</t>
  </si>
  <si>
    <t>Hanover 28*</t>
  </si>
  <si>
    <t>Manitou Springs 14*</t>
  </si>
  <si>
    <t>Edison 54 Jt*</t>
  </si>
  <si>
    <t>Gilpin County Re-1*</t>
  </si>
  <si>
    <t>Hinsdale County Re 1*</t>
  </si>
  <si>
    <t>Buffalo Re-4*</t>
  </si>
  <si>
    <t>Plateau Re-5*</t>
  </si>
  <si>
    <t>De Beque 49Jt*</t>
  </si>
  <si>
    <t>Plateau Valley 50*</t>
  </si>
  <si>
    <t>East Otero R-1*</t>
  </si>
  <si>
    <t>Mountain Valley Re 1*</t>
  </si>
  <si>
    <t>Cripple Creek-Victor Re-1*</t>
  </si>
  <si>
    <t>Signed Over to BOCES/Consortiums</t>
  </si>
  <si>
    <t>BOCES Allocation</t>
  </si>
  <si>
    <t>BOCES/Consortium Allocation</t>
  </si>
  <si>
    <t>Southeastern BOCES</t>
  </si>
  <si>
    <t>Questions regarding payments:</t>
  </si>
  <si>
    <t>GRANT PERIOD:</t>
  </si>
  <si>
    <t>District Name</t>
  </si>
  <si>
    <t>Moffat County Re-1</t>
  </si>
  <si>
    <t>X010</t>
  </si>
  <si>
    <t>X020</t>
  </si>
  <si>
    <t>Division of Youth Corrections</t>
  </si>
  <si>
    <t>Department of Corrections</t>
  </si>
  <si>
    <t>84.031A</t>
  </si>
  <si>
    <t>2012-13</t>
  </si>
  <si>
    <t>July 2014</t>
  </si>
  <si>
    <t>August 2014</t>
  </si>
  <si>
    <t>September 2014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</si>
  <si>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</si>
  <si>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</si>
  <si>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</si>
  <si>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</si>
  <si>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</si>
  <si>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</si>
  <si>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</si>
  <si>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</si>
  <si>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</si>
  <si>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323G-7000</t>
  </si>
  <si>
    <t>703B-7000</t>
  </si>
  <si>
    <t>2013-14</t>
  </si>
  <si>
    <t>704A-7000</t>
  </si>
  <si>
    <t>7/1/13 THROUGH 9/30/15-This grant does have carryover restrictions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</si>
  <si>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</si>
  <si>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</si>
  <si>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</si>
  <si>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</si>
  <si>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</si>
  <si>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</si>
  <si>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</si>
  <si>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</si>
  <si>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</si>
  <si>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</si>
  <si>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</si>
  <si>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</si>
  <si>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784A/7000</t>
  </si>
  <si>
    <t>354C/7000</t>
  </si>
  <si>
    <t>7/1/13 THROUGH 9/30/15</t>
  </si>
  <si>
    <t>Nicole Dake  303-866-6724  or dake_n@cde.state.co.us</t>
  </si>
  <si>
    <t>314F-7000</t>
  </si>
  <si>
    <t>314G/7000</t>
  </si>
  <si>
    <t>7/1/13 THROUGH 6/30/14-GRANT DOES NOT ALLOW CARRYOVER</t>
  </si>
  <si>
    <t>Nicole Dake  303-866-6724  or  dake_n@cde.state.co.us</t>
  </si>
  <si>
    <t>724D-7000</t>
  </si>
  <si>
    <r>
      <t xml:space="preserve">SUMMARY OF CURRENT FUNDS AVAILABLE ACROSS FORMULA GRANT </t>
    </r>
    <r>
      <rPr>
        <b/>
        <sz val="22"/>
        <rFont val="Calibri"/>
        <family val="2"/>
        <scheme val="minor"/>
      </rPr>
      <t xml:space="preserve"> FY 2013-14</t>
    </r>
  </si>
  <si>
    <t>Jacqueline Mains  303-866-6911  or mains_j@cde.state.co.us</t>
  </si>
  <si>
    <t>Jacqueline Mains  303-866-6911 or mains_j@cde.state.co.us</t>
  </si>
  <si>
    <t>School District 27J</t>
  </si>
  <si>
    <t>Kit Carson R-1 *</t>
  </si>
  <si>
    <t>Lone Star 101 *</t>
  </si>
  <si>
    <t>Liberty J-4 *</t>
  </si>
  <si>
    <t>Elbert 200 *</t>
  </si>
  <si>
    <t>Miami/Yoder 60 Jt *</t>
  </si>
  <si>
    <t>Frenchman Re-3 *</t>
  </si>
  <si>
    <t>Swink 33 *</t>
  </si>
  <si>
    <t>Ouray R-1 *</t>
  </si>
  <si>
    <t>Ridgway R-2 *</t>
  </si>
  <si>
    <t>Platte Canyon 1 *</t>
  </si>
  <si>
    <t>Park County Re-2 *</t>
  </si>
  <si>
    <t>Haxtun Re-2J *</t>
  </si>
  <si>
    <t>Rangely Re-4 *</t>
  </si>
  <si>
    <t>Moffat 2 *</t>
  </si>
  <si>
    <t>Norwood R-2J *</t>
  </si>
  <si>
    <t>Julesburg Re-1 *</t>
  </si>
  <si>
    <t>Akron R-1 *</t>
  </si>
  <si>
    <t>Clear Creek Re-1 *</t>
  </si>
  <si>
    <t>Mountain Valley Re 1 *</t>
  </si>
  <si>
    <t>October 2015</t>
  </si>
  <si>
    <t>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</si>
</sst>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000"/>
  </numFmts>
  <fonts count="3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2"/>
      <color indexed="8"/>
      <name val="Calibri"/>
      <family val="2"/>
      <scheme val="minor"/>
    </font>
    <font>
      <sz val="8"/>
      <color indexed="81"/>
      <name val="Tahoma"/>
      <family val="2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6795556505021"/>
      </right>
      <top style="thin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medium">
        <color theme="0" tint="-0.14996795556505021"/>
      </left>
      <right/>
      <top style="medium">
        <color indexed="64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3743705557422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6CCFF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rgb="FF66CCFF"/>
      </right>
      <top/>
      <bottom/>
      <diagonal/>
    </border>
    <border>
      <left style="medium">
        <color rgb="FF66CCFF"/>
      </left>
      <right/>
      <top/>
      <bottom/>
      <diagonal/>
    </border>
    <border>
      <left style="medium">
        <color rgb="FF66CCFF"/>
      </left>
      <right/>
      <top/>
      <bottom style="medium">
        <color rgb="FF66CCFF"/>
      </bottom>
      <diagonal/>
    </border>
    <border>
      <left/>
      <right/>
      <top/>
      <bottom style="medium">
        <color rgb="FF66CCFF"/>
      </bottom>
      <diagonal/>
    </border>
    <border>
      <left/>
      <right style="medium">
        <color rgb="FF66CCFF"/>
      </right>
      <top/>
      <bottom style="medium">
        <color rgb="FF66CCFF"/>
      </bottom>
      <diagonal/>
    </border>
    <border>
      <left style="medium">
        <color rgb="FF66CCFF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679555650502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Font="1"/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vertical="center"/>
    </xf>
    <xf numFmtId="49" fontId="5" fillId="2" borderId="5" xfId="0" applyNumberFormat="1" applyFont="1" applyFill="1" applyBorder="1"/>
    <xf numFmtId="0" fontId="5" fillId="2" borderId="6" xfId="0" applyFont="1" applyFill="1" applyBorder="1"/>
    <xf numFmtId="0" fontId="7" fillId="0" borderId="0" xfId="0" applyFont="1" applyAlignment="1">
      <alignment horizontal="center"/>
    </xf>
    <xf numFmtId="38" fontId="0" fillId="0" borderId="0" xfId="0" applyNumberFormat="1"/>
    <xf numFmtId="37" fontId="5" fillId="3" borderId="0" xfId="0" applyNumberFormat="1" applyFont="1" applyFill="1" applyBorder="1"/>
    <xf numFmtId="37" fontId="4" fillId="3" borderId="0" xfId="0" applyNumberFormat="1" applyFont="1" applyFill="1" applyBorder="1"/>
    <xf numFmtId="0" fontId="0" fillId="0" borderId="0" xfId="0" applyFill="1"/>
    <xf numFmtId="0" fontId="4" fillId="0" borderId="0" xfId="0" applyFont="1" applyFill="1" applyBorder="1"/>
    <xf numFmtId="49" fontId="5" fillId="2" borderId="7" xfId="0" applyNumberFormat="1" applyFont="1" applyFill="1" applyBorder="1"/>
    <xf numFmtId="0" fontId="5" fillId="2" borderId="8" xfId="0" applyFont="1" applyFill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wrapText="1"/>
    </xf>
    <xf numFmtId="0" fontId="11" fillId="2" borderId="0" xfId="0" applyFont="1" applyFill="1"/>
    <xf numFmtId="0" fontId="11" fillId="2" borderId="0" xfId="0" quotePrefix="1" applyFont="1" applyFill="1" applyAlignment="1">
      <alignment horizontal="left"/>
    </xf>
    <xf numFmtId="0" fontId="8" fillId="2" borderId="0" xfId="0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1" fillId="2" borderId="0" xfId="0" quotePrefix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9" fontId="13" fillId="2" borderId="8" xfId="0" applyNumberFormat="1" applyFont="1" applyFill="1" applyBorder="1"/>
    <xf numFmtId="0" fontId="13" fillId="2" borderId="12" xfId="0" applyFont="1" applyFill="1" applyBorder="1"/>
    <xf numFmtId="0" fontId="0" fillId="2" borderId="0" xfId="0" applyFont="1" applyFill="1"/>
    <xf numFmtId="0" fontId="1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4" fillId="2" borderId="0" xfId="0" quotePrefix="1" applyFont="1" applyFill="1" applyAlignment="1">
      <alignment horizontal="center"/>
    </xf>
    <xf numFmtId="0" fontId="11" fillId="2" borderId="0" xfId="0" quotePrefix="1" applyFont="1" applyFill="1" applyAlignment="1">
      <alignment horizontal="right"/>
    </xf>
    <xf numFmtId="0" fontId="13" fillId="2" borderId="14" xfId="0" applyFont="1" applyFill="1" applyBorder="1"/>
    <xf numFmtId="49" fontId="13" fillId="2" borderId="16" xfId="0" applyNumberFormat="1" applyFont="1" applyFill="1" applyBorder="1"/>
    <xf numFmtId="0" fontId="13" fillId="2" borderId="17" xfId="0" applyFont="1" applyFill="1" applyBorder="1"/>
    <xf numFmtId="3" fontId="8" fillId="2" borderId="17" xfId="0" applyNumberFormat="1" applyFont="1" applyFill="1" applyBorder="1" applyAlignment="1">
      <alignment horizontal="right"/>
    </xf>
    <xf numFmtId="0" fontId="15" fillId="2" borderId="17" xfId="0" applyFont="1" applyFill="1" applyBorder="1"/>
    <xf numFmtId="3" fontId="13" fillId="2" borderId="17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/>
    </xf>
    <xf numFmtId="0" fontId="15" fillId="2" borderId="16" xfId="0" quotePrefix="1" applyFont="1" applyFill="1" applyBorder="1" applyAlignment="1" applyProtection="1">
      <alignment horizontal="left"/>
    </xf>
    <xf numFmtId="0" fontId="15" fillId="2" borderId="17" xfId="0" applyFont="1" applyFill="1" applyBorder="1" applyAlignment="1" applyProtection="1">
      <alignment horizontal="left"/>
    </xf>
    <xf numFmtId="3" fontId="15" fillId="2" borderId="17" xfId="0" applyNumberFormat="1" applyFont="1" applyFill="1" applyBorder="1" applyAlignment="1" applyProtection="1">
      <alignment horizontal="left"/>
    </xf>
    <xf numFmtId="0" fontId="8" fillId="2" borderId="17" xfId="0" applyFont="1" applyFill="1" applyBorder="1" applyAlignment="1" applyProtection="1">
      <alignment horizontal="left"/>
    </xf>
    <xf numFmtId="49" fontId="13" fillId="2" borderId="22" xfId="0" applyNumberFormat="1" applyFont="1" applyFill="1" applyBorder="1"/>
    <xf numFmtId="0" fontId="13" fillId="2" borderId="9" xfId="0" applyFont="1" applyFill="1" applyBorder="1"/>
    <xf numFmtId="49" fontId="13" fillId="2" borderId="23" xfId="0" applyNumberFormat="1" applyFont="1" applyFill="1" applyBorder="1"/>
    <xf numFmtId="0" fontId="13" fillId="2" borderId="10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Fill="1" applyAlignment="1">
      <alignment wrapText="1"/>
    </xf>
    <xf numFmtId="0" fontId="11" fillId="0" borderId="0" xfId="0" applyFont="1" applyFill="1"/>
    <xf numFmtId="0" fontId="8" fillId="0" borderId="0" xfId="0" applyFont="1" applyFill="1"/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13" fillId="2" borderId="26" xfId="0" applyNumberFormat="1" applyFont="1" applyFill="1" applyBorder="1"/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horizontal="right"/>
    </xf>
    <xf numFmtId="49" fontId="7" fillId="2" borderId="17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49" fontId="13" fillId="2" borderId="28" xfId="0" applyNumberFormat="1" applyFont="1" applyFill="1" applyBorder="1"/>
    <xf numFmtId="0" fontId="13" fillId="2" borderId="29" xfId="0" applyFont="1" applyFill="1" applyBorder="1"/>
    <xf numFmtId="0" fontId="8" fillId="2" borderId="26" xfId="0" applyFont="1" applyFill="1" applyBorder="1" applyAlignment="1">
      <alignment horizontal="left"/>
    </xf>
    <xf numFmtId="3" fontId="8" fillId="0" borderId="0" xfId="0" applyNumberFormat="1" applyFont="1" applyBorder="1"/>
    <xf numFmtId="0" fontId="17" fillId="0" borderId="0" xfId="0" applyFont="1" applyFill="1" applyBorder="1" applyAlignment="1">
      <alignment horizontal="center"/>
    </xf>
    <xf numFmtId="38" fontId="8" fillId="0" borderId="0" xfId="0" applyNumberFormat="1" applyFont="1" applyBorder="1" applyAlignment="1">
      <alignment horizontal="right"/>
    </xf>
    <xf numFmtId="38" fontId="8" fillId="0" borderId="0" xfId="0" applyNumberFormat="1" applyFont="1" applyAlignment="1">
      <alignment horizontal="right"/>
    </xf>
    <xf numFmtId="38" fontId="8" fillId="0" borderId="0" xfId="0" applyNumberFormat="1" applyFont="1"/>
    <xf numFmtId="38" fontId="13" fillId="0" borderId="0" xfId="0" applyNumberFormat="1" applyFont="1" applyFill="1" applyBorder="1"/>
    <xf numFmtId="165" fontId="8" fillId="2" borderId="30" xfId="1" applyNumberFormat="1" applyFont="1" applyFill="1" applyBorder="1"/>
    <xf numFmtId="165" fontId="8" fillId="2" borderId="17" xfId="1" applyNumberFormat="1" applyFont="1" applyFill="1" applyBorder="1"/>
    <xf numFmtId="3" fontId="8" fillId="2" borderId="17" xfId="0" applyNumberFormat="1" applyFont="1" applyFill="1" applyBorder="1"/>
    <xf numFmtId="165" fontId="13" fillId="2" borderId="17" xfId="1" applyNumberFormat="1" applyFont="1" applyFill="1" applyBorder="1"/>
    <xf numFmtId="3" fontId="8" fillId="2" borderId="14" xfId="0" applyNumberFormat="1" applyFont="1" applyFill="1" applyBorder="1"/>
    <xf numFmtId="3" fontId="8" fillId="2" borderId="31" xfId="0" applyNumberFormat="1" applyFont="1" applyFill="1" applyBorder="1"/>
    <xf numFmtId="3" fontId="8" fillId="2" borderId="33" xfId="0" applyNumberFormat="1" applyFont="1" applyFill="1" applyBorder="1"/>
    <xf numFmtId="3" fontId="8" fillId="2" borderId="35" xfId="0" applyNumberFormat="1" applyFont="1" applyFill="1" applyBorder="1"/>
    <xf numFmtId="3" fontId="8" fillId="2" borderId="37" xfId="0" applyNumberFormat="1" applyFont="1" applyFill="1" applyBorder="1"/>
    <xf numFmtId="3" fontId="8" fillId="2" borderId="39" xfId="0" applyNumberFormat="1" applyFont="1" applyFill="1" applyBorder="1"/>
    <xf numFmtId="165" fontId="3" fillId="4" borderId="2" xfId="1" applyNumberFormat="1" applyFont="1" applyFill="1" applyBorder="1" applyAlignment="1">
      <alignment horizontal="center" vertical="center"/>
    </xf>
    <xf numFmtId="165" fontId="8" fillId="2" borderId="36" xfId="1" applyNumberFormat="1" applyFont="1" applyFill="1" applyBorder="1"/>
    <xf numFmtId="165" fontId="8" fillId="2" borderId="25" xfId="1" applyNumberFormat="1" applyFont="1" applyFill="1" applyBorder="1"/>
    <xf numFmtId="165" fontId="8" fillId="2" borderId="38" xfId="1" applyNumberFormat="1" applyFont="1" applyFill="1" applyBorder="1"/>
    <xf numFmtId="165" fontId="8" fillId="2" borderId="32" xfId="1" applyNumberFormat="1" applyFont="1" applyFill="1" applyBorder="1"/>
    <xf numFmtId="165" fontId="8" fillId="2" borderId="34" xfId="1" applyNumberFormat="1" applyFont="1" applyFill="1" applyBorder="1"/>
    <xf numFmtId="3" fontId="8" fillId="2" borderId="15" xfId="0" applyNumberFormat="1" applyFont="1" applyFill="1" applyBorder="1"/>
    <xf numFmtId="3" fontId="8" fillId="2" borderId="18" xfId="0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8" fillId="0" borderId="0" xfId="0" applyNumberFormat="1" applyFont="1" applyFill="1"/>
    <xf numFmtId="3" fontId="8" fillId="0" borderId="0" xfId="0" applyNumberFormat="1" applyFont="1"/>
    <xf numFmtId="3" fontId="13" fillId="2" borderId="14" xfId="0" applyNumberFormat="1" applyFont="1" applyFill="1" applyBorder="1" applyAlignment="1">
      <alignment horizontal="right"/>
    </xf>
    <xf numFmtId="3" fontId="13" fillId="0" borderId="27" xfId="0" applyNumberFormat="1" applyFont="1" applyFill="1" applyBorder="1"/>
    <xf numFmtId="49" fontId="13" fillId="2" borderId="41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5" fillId="2" borderId="17" xfId="0" quotePrefix="1" applyFont="1" applyFill="1" applyBorder="1" applyAlignment="1" applyProtection="1">
      <alignment horizontal="left"/>
    </xf>
    <xf numFmtId="0" fontId="13" fillId="2" borderId="30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56" xfId="0" applyFont="1" applyFill="1" applyBorder="1"/>
    <xf numFmtId="0" fontId="8" fillId="0" borderId="57" xfId="0" applyFont="1" applyFill="1" applyBorder="1"/>
    <xf numFmtId="0" fontId="3" fillId="0" borderId="57" xfId="0" applyFont="1" applyFill="1" applyBorder="1"/>
    <xf numFmtId="0" fontId="0" fillId="0" borderId="57" xfId="0" applyFill="1" applyBorder="1"/>
    <xf numFmtId="0" fontId="0" fillId="0" borderId="58" xfId="0" applyFill="1" applyBorder="1"/>
    <xf numFmtId="49" fontId="13" fillId="2" borderId="31" xfId="0" applyNumberFormat="1" applyFont="1" applyFill="1" applyBorder="1"/>
    <xf numFmtId="0" fontId="13" fillId="2" borderId="31" xfId="0" applyFont="1" applyFill="1" applyBorder="1"/>
    <xf numFmtId="0" fontId="15" fillId="2" borderId="31" xfId="0" applyFont="1" applyFill="1" applyBorder="1"/>
    <xf numFmtId="164" fontId="1" fillId="2" borderId="31" xfId="0" applyNumberFormat="1" applyFont="1" applyFill="1" applyBorder="1" applyAlignment="1"/>
    <xf numFmtId="0" fontId="8" fillId="2" borderId="31" xfId="0" applyFont="1" applyFill="1" applyBorder="1" applyAlignment="1">
      <alignment horizontal="left"/>
    </xf>
    <xf numFmtId="0" fontId="15" fillId="2" borderId="31" xfId="0" applyFont="1" applyFill="1" applyBorder="1" applyAlignment="1" applyProtection="1">
      <alignment horizontal="left"/>
    </xf>
    <xf numFmtId="3" fontId="15" fillId="2" borderId="31" xfId="0" applyNumberFormat="1" applyFont="1" applyFill="1" applyBorder="1" applyAlignment="1" applyProtection="1">
      <alignment horizontal="left"/>
    </xf>
    <xf numFmtId="0" fontId="8" fillId="2" borderId="31" xfId="0" applyFont="1" applyFill="1" applyBorder="1" applyAlignment="1" applyProtection="1">
      <alignment horizontal="left"/>
    </xf>
    <xf numFmtId="0" fontId="15" fillId="2" borderId="31" xfId="0" quotePrefix="1" applyFont="1" applyFill="1" applyBorder="1" applyAlignment="1" applyProtection="1">
      <alignment horizontal="left"/>
    </xf>
    <xf numFmtId="165" fontId="8" fillId="2" borderId="17" xfId="0" applyNumberFormat="1" applyFont="1" applyFill="1" applyBorder="1" applyAlignment="1">
      <alignment horizontal="right"/>
    </xf>
    <xf numFmtId="165" fontId="8" fillId="2" borderId="17" xfId="0" applyNumberFormat="1" applyFont="1" applyFill="1" applyBorder="1"/>
    <xf numFmtId="165" fontId="8" fillId="2" borderId="18" xfId="0" applyNumberFormat="1" applyFont="1" applyFill="1" applyBorder="1"/>
    <xf numFmtId="165" fontId="8" fillId="2" borderId="17" xfId="0" applyNumberFormat="1" applyFont="1" applyFill="1" applyBorder="1" applyAlignment="1">
      <alignment horizontal="center"/>
    </xf>
    <xf numFmtId="165" fontId="8" fillId="2" borderId="20" xfId="0" applyNumberFormat="1" applyFont="1" applyFill="1" applyBorder="1"/>
    <xf numFmtId="165" fontId="8" fillId="2" borderId="21" xfId="0" applyNumberFormat="1" applyFont="1" applyFill="1" applyBorder="1"/>
    <xf numFmtId="0" fontId="15" fillId="2" borderId="19" xfId="0" quotePrefix="1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>
      <alignment horizontal="left"/>
    </xf>
    <xf numFmtId="164" fontId="11" fillId="2" borderId="19" xfId="0" applyNumberFormat="1" applyFont="1" applyFill="1" applyBorder="1"/>
    <xf numFmtId="164" fontId="11" fillId="2" borderId="20" xfId="0" applyNumberFormat="1" applyFont="1" applyFill="1" applyBorder="1"/>
    <xf numFmtId="165" fontId="11" fillId="2" borderId="20" xfId="0" applyNumberFormat="1" applyFont="1" applyFill="1" applyBorder="1"/>
    <xf numFmtId="164" fontId="11" fillId="2" borderId="17" xfId="0" applyNumberFormat="1" applyFont="1" applyFill="1" applyBorder="1"/>
    <xf numFmtId="164" fontId="3" fillId="0" borderId="0" xfId="0" applyNumberFormat="1" applyFont="1"/>
    <xf numFmtId="3" fontId="8" fillId="2" borderId="59" xfId="0" applyNumberFormat="1" applyFont="1" applyFill="1" applyBorder="1"/>
    <xf numFmtId="165" fontId="8" fillId="2" borderId="60" xfId="1" applyNumberFormat="1" applyFont="1" applyFill="1" applyBorder="1"/>
    <xf numFmtId="0" fontId="11" fillId="2" borderId="17" xfId="0" applyFont="1" applyFill="1" applyBorder="1"/>
    <xf numFmtId="165" fontId="11" fillId="2" borderId="17" xfId="1" applyNumberFormat="1" applyFont="1" applyFill="1" applyBorder="1"/>
    <xf numFmtId="165" fontId="19" fillId="2" borderId="17" xfId="1" applyNumberFormat="1" applyFont="1" applyFill="1" applyBorder="1"/>
    <xf numFmtId="164" fontId="11" fillId="2" borderId="31" xfId="0" applyNumberFormat="1" applyFont="1" applyFill="1" applyBorder="1"/>
    <xf numFmtId="0" fontId="11" fillId="0" borderId="0" xfId="0" applyFont="1" applyFill="1" applyAlignment="1">
      <alignment horizontal="right"/>
    </xf>
    <xf numFmtId="0" fontId="3" fillId="0" borderId="0" xfId="0" applyFont="1" applyFill="1"/>
    <xf numFmtId="165" fontId="8" fillId="2" borderId="61" xfId="1" applyNumberFormat="1" applyFont="1" applyFill="1" applyBorder="1"/>
    <xf numFmtId="165" fontId="8" fillId="2" borderId="62" xfId="1" applyNumberFormat="1" applyFont="1" applyFill="1" applyBorder="1"/>
    <xf numFmtId="165" fontId="8" fillId="2" borderId="59" xfId="1" applyNumberFormat="1" applyFont="1" applyFill="1" applyBorder="1"/>
    <xf numFmtId="164" fontId="11" fillId="2" borderId="61" xfId="1" applyNumberFormat="1" applyFont="1" applyFill="1" applyBorder="1"/>
    <xf numFmtId="49" fontId="13" fillId="2" borderId="24" xfId="0" applyNumberFormat="1" applyFont="1" applyFill="1" applyBorder="1"/>
    <xf numFmtId="0" fontId="13" fillId="2" borderId="11" xfId="0" applyFont="1" applyFill="1" applyBorder="1"/>
    <xf numFmtId="164" fontId="3" fillId="0" borderId="0" xfId="0" applyNumberFormat="1" applyFont="1" applyBorder="1"/>
    <xf numFmtId="0" fontId="7" fillId="2" borderId="20" xfId="0" applyFont="1" applyFill="1" applyBorder="1" applyAlignment="1">
      <alignment horizontal="center"/>
    </xf>
    <xf numFmtId="164" fontId="11" fillId="2" borderId="20" xfId="0" applyNumberFormat="1" applyFont="1" applyFill="1" applyBorder="1" applyAlignment="1">
      <alignment horizontal="center"/>
    </xf>
    <xf numFmtId="164" fontId="11" fillId="2" borderId="21" xfId="0" applyNumberFormat="1" applyFont="1" applyFill="1" applyBorder="1" applyAlignment="1">
      <alignment horizontal="right"/>
    </xf>
    <xf numFmtId="164" fontId="3" fillId="2" borderId="0" xfId="0" applyNumberFormat="1" applyFont="1" applyFill="1"/>
    <xf numFmtId="165" fontId="13" fillId="2" borderId="0" xfId="1" applyNumberFormat="1" applyFont="1" applyFill="1" applyBorder="1"/>
    <xf numFmtId="0" fontId="11" fillId="2" borderId="31" xfId="0" applyFont="1" applyFill="1" applyBorder="1"/>
    <xf numFmtId="164" fontId="11" fillId="2" borderId="55" xfId="0" applyNumberFormat="1" applyFont="1" applyFill="1" applyBorder="1" applyAlignment="1">
      <alignment horizontal="right"/>
    </xf>
    <xf numFmtId="0" fontId="3" fillId="0" borderId="0" xfId="0" applyFont="1"/>
    <xf numFmtId="0" fontId="11" fillId="2" borderId="16" xfId="0" applyFont="1" applyFill="1" applyBorder="1"/>
    <xf numFmtId="38" fontId="8" fillId="0" borderId="0" xfId="0" applyNumberFormat="1" applyFont="1" applyBorder="1"/>
    <xf numFmtId="0" fontId="8" fillId="0" borderId="0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6" fontId="8" fillId="0" borderId="0" xfId="2" applyNumberFormat="1" applyFont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/>
    <xf numFmtId="38" fontId="13" fillId="2" borderId="17" xfId="1" applyNumberFormat="1" applyFont="1" applyFill="1" applyBorder="1"/>
    <xf numFmtId="38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/>
    <xf numFmtId="0" fontId="23" fillId="0" borderId="0" xfId="0" applyFont="1"/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38" fontId="23" fillId="0" borderId="0" xfId="0" applyNumberFormat="1" applyFont="1"/>
    <xf numFmtId="49" fontId="6" fillId="0" borderId="50" xfId="0" applyNumberFormat="1" applyFont="1" applyFill="1" applyBorder="1"/>
    <xf numFmtId="0" fontId="6" fillId="0" borderId="8" xfId="0" applyFont="1" applyFill="1" applyBorder="1"/>
    <xf numFmtId="38" fontId="6" fillId="0" borderId="0" xfId="0" applyNumberFormat="1" applyFont="1" applyFill="1" applyBorder="1"/>
    <xf numFmtId="38" fontId="6" fillId="0" borderId="45" xfId="0" applyNumberFormat="1" applyFont="1" applyFill="1" applyBorder="1"/>
    <xf numFmtId="49" fontId="6" fillId="0" borderId="44" xfId="0" applyNumberFormat="1" applyFont="1" applyFill="1" applyBorder="1"/>
    <xf numFmtId="0" fontId="6" fillId="0" borderId="6" xfId="0" applyFont="1" applyFill="1" applyBorder="1"/>
    <xf numFmtId="0" fontId="6" fillId="0" borderId="44" xfId="0" applyFont="1" applyFill="1" applyBorder="1" applyAlignment="1">
      <alignment horizontal="left"/>
    </xf>
    <xf numFmtId="0" fontId="6" fillId="0" borderId="46" xfId="0" quotePrefix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0" fontId="6" fillId="0" borderId="47" xfId="0" quotePrefix="1" applyFont="1" applyFill="1" applyBorder="1" applyAlignment="1" applyProtection="1">
      <alignment horizontal="left"/>
    </xf>
    <xf numFmtId="0" fontId="6" fillId="0" borderId="48" xfId="0" applyFont="1" applyFill="1" applyBorder="1" applyAlignment="1" applyProtection="1">
      <alignment horizontal="left"/>
    </xf>
    <xf numFmtId="38" fontId="6" fillId="0" borderId="48" xfId="0" applyNumberFormat="1" applyFont="1" applyFill="1" applyBorder="1"/>
    <xf numFmtId="38" fontId="6" fillId="0" borderId="49" xfId="0" applyNumberFormat="1" applyFont="1" applyFill="1" applyBorder="1"/>
    <xf numFmtId="0" fontId="6" fillId="0" borderId="0" xfId="0" applyFont="1" applyFill="1"/>
    <xf numFmtId="38" fontId="6" fillId="0" borderId="0" xfId="0" applyNumberFormat="1" applyFont="1" applyFill="1"/>
    <xf numFmtId="0" fontId="23" fillId="0" borderId="0" xfId="0" applyFont="1" applyFill="1"/>
    <xf numFmtId="38" fontId="23" fillId="0" borderId="0" xfId="0" applyNumberFormat="1" applyFont="1" applyFill="1"/>
    <xf numFmtId="0" fontId="25" fillId="5" borderId="0" xfId="0" applyFont="1" applyFill="1"/>
    <xf numFmtId="0" fontId="26" fillId="2" borderId="0" xfId="0" applyFont="1" applyFill="1"/>
    <xf numFmtId="0" fontId="25" fillId="2" borderId="0" xfId="0" applyFont="1" applyFill="1"/>
    <xf numFmtId="0" fontId="26" fillId="2" borderId="0" xfId="0" applyFont="1" applyFill="1" applyAlignment="1">
      <alignment horizontal="left"/>
    </xf>
    <xf numFmtId="0" fontId="25" fillId="2" borderId="0" xfId="0" applyFont="1" applyFill="1" applyAlignment="1">
      <alignment wrapText="1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 wrapText="1"/>
    </xf>
    <xf numFmtId="38" fontId="4" fillId="0" borderId="0" xfId="0" applyNumberFormat="1" applyFont="1" applyFill="1"/>
    <xf numFmtId="38" fontId="0" fillId="0" borderId="0" xfId="0" applyNumberFormat="1" applyFill="1"/>
    <xf numFmtId="38" fontId="8" fillId="2" borderId="66" xfId="1" applyNumberFormat="1" applyFont="1" applyFill="1" applyBorder="1"/>
    <xf numFmtId="165" fontId="13" fillId="2" borderId="67" xfId="1" applyNumberFormat="1" applyFont="1" applyFill="1" applyBorder="1"/>
    <xf numFmtId="165" fontId="19" fillId="2" borderId="68" xfId="1" applyNumberFormat="1" applyFont="1" applyFill="1" applyBorder="1"/>
    <xf numFmtId="164" fontId="15" fillId="2" borderId="67" xfId="0" applyNumberFormat="1" applyFont="1" applyFill="1" applyBorder="1" applyAlignment="1"/>
    <xf numFmtId="165" fontId="0" fillId="0" borderId="0" xfId="0" applyNumberFormat="1" applyFill="1"/>
    <xf numFmtId="164" fontId="0" fillId="0" borderId="0" xfId="0" applyNumberFormat="1" applyBorder="1"/>
    <xf numFmtId="167" fontId="8" fillId="2" borderId="17" xfId="0" applyNumberFormat="1" applyFont="1" applyFill="1" applyBorder="1" applyAlignment="1">
      <alignment horizontal="left"/>
    </xf>
    <xf numFmtId="167" fontId="15" fillId="2" borderId="17" xfId="0" quotePrefix="1" applyNumberFormat="1" applyFont="1" applyFill="1" applyBorder="1" applyAlignment="1" applyProtection="1">
      <alignment horizontal="left"/>
    </xf>
    <xf numFmtId="0" fontId="15" fillId="2" borderId="17" xfId="0" quotePrefix="1" applyNumberFormat="1" applyFont="1" applyFill="1" applyBorder="1" applyAlignment="1" applyProtection="1">
      <alignment horizontal="left"/>
    </xf>
    <xf numFmtId="1" fontId="8" fillId="2" borderId="17" xfId="0" applyNumberFormat="1" applyFont="1" applyFill="1" applyBorder="1" applyAlignment="1">
      <alignment horizontal="left"/>
    </xf>
    <xf numFmtId="167" fontId="13" fillId="2" borderId="30" xfId="0" applyNumberFormat="1" applyFont="1" applyFill="1" applyBorder="1" applyAlignment="1">
      <alignment horizontal="left"/>
    </xf>
    <xf numFmtId="167" fontId="13" fillId="2" borderId="17" xfId="0" applyNumberFormat="1" applyFont="1" applyFill="1" applyBorder="1" applyAlignment="1">
      <alignment horizontal="left"/>
    </xf>
    <xf numFmtId="0" fontId="13" fillId="2" borderId="17" xfId="0" applyNumberFormat="1" applyFont="1" applyFill="1" applyBorder="1" applyAlignment="1">
      <alignment horizontal="left"/>
    </xf>
    <xf numFmtId="167" fontId="8" fillId="2" borderId="16" xfId="0" applyNumberFormat="1" applyFont="1" applyFill="1" applyBorder="1" applyAlignment="1">
      <alignment horizontal="left"/>
    </xf>
    <xf numFmtId="167" fontId="15" fillId="2" borderId="16" xfId="0" quotePrefix="1" applyNumberFormat="1" applyFont="1" applyFill="1" applyBorder="1" applyAlignment="1" applyProtection="1">
      <alignment horizontal="left"/>
    </xf>
    <xf numFmtId="167" fontId="15" fillId="2" borderId="19" xfId="0" quotePrefix="1" applyNumberFormat="1" applyFont="1" applyFill="1" applyBorder="1" applyAlignment="1" applyProtection="1">
      <alignment horizontal="left"/>
    </xf>
    <xf numFmtId="167" fontId="13" fillId="2" borderId="16" xfId="0" applyNumberFormat="1" applyFont="1" applyFill="1" applyBorder="1" applyAlignment="1">
      <alignment horizontal="left"/>
    </xf>
    <xf numFmtId="167" fontId="11" fillId="2" borderId="19" xfId="0" applyNumberFormat="1" applyFont="1" applyFill="1" applyBorder="1" applyAlignment="1">
      <alignment horizontal="left"/>
    </xf>
    <xf numFmtId="167" fontId="13" fillId="2" borderId="13" xfId="0" applyNumberFormat="1" applyFont="1" applyFill="1" applyBorder="1" applyAlignment="1">
      <alignment horizontal="left"/>
    </xf>
    <xf numFmtId="164" fontId="0" fillId="0" borderId="0" xfId="0" applyNumberFormat="1"/>
    <xf numFmtId="0" fontId="9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0" fillId="2" borderId="0" xfId="0" applyFill="1" applyAlignment="1">
      <alignment wrapText="1"/>
    </xf>
    <xf numFmtId="0" fontId="11" fillId="2" borderId="0" xfId="0" applyFont="1" applyFill="1"/>
    <xf numFmtId="0" fontId="11" fillId="2" borderId="0" xfId="0" quotePrefix="1" applyFont="1" applyFill="1" applyAlignment="1">
      <alignment horizontal="left"/>
    </xf>
    <xf numFmtId="0" fontId="8" fillId="2" borderId="0" xfId="0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3" fillId="2" borderId="17" xfId="0" applyFont="1" applyFill="1" applyBorder="1"/>
    <xf numFmtId="0" fontId="15" fillId="2" borderId="17" xfId="0" applyFont="1" applyFill="1" applyBorder="1" applyAlignment="1" applyProtection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1" fillId="2" borderId="17" xfId="0" applyNumberFormat="1" applyFont="1" applyFill="1" applyBorder="1"/>
    <xf numFmtId="0" fontId="15" fillId="2" borderId="30" xfId="0" applyNumberFormat="1" applyFont="1" applyFill="1" applyBorder="1" applyAlignment="1">
      <alignment horizontal="center"/>
    </xf>
    <xf numFmtId="0" fontId="15" fillId="2" borderId="17" xfId="0" applyNumberFormat="1" applyFont="1" applyFill="1" applyBorder="1" applyAlignment="1">
      <alignment horizontal="center"/>
    </xf>
    <xf numFmtId="0" fontId="13" fillId="2" borderId="17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49" fontId="13" fillId="2" borderId="30" xfId="0" applyNumberFormat="1" applyFont="1" applyFill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49" fontId="15" fillId="2" borderId="17" xfId="0" applyNumberFormat="1" applyFont="1" applyFill="1" applyBorder="1" applyAlignment="1">
      <alignment horizontal="center"/>
    </xf>
    <xf numFmtId="167" fontId="15" fillId="2" borderId="14" xfId="0" applyNumberFormat="1" applyFont="1" applyFill="1" applyBorder="1" applyAlignment="1">
      <alignment horizontal="center"/>
    </xf>
    <xf numFmtId="167" fontId="15" fillId="2" borderId="17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7" fillId="2" borderId="17" xfId="0" applyNumberFormat="1" applyFont="1" applyFill="1" applyBorder="1" applyAlignment="1">
      <alignment horizontal="center"/>
    </xf>
    <xf numFmtId="17" fontId="3" fillId="0" borderId="1" xfId="0" quotePrefix="1" applyNumberFormat="1" applyFont="1" applyFill="1" applyBorder="1" applyAlignment="1">
      <alignment horizontal="center" vertical="center"/>
    </xf>
    <xf numFmtId="49" fontId="3" fillId="0" borderId="2" xfId="0" quotePrefix="1" applyNumberFormat="1" applyFont="1" applyFill="1" applyBorder="1" applyAlignment="1">
      <alignment horizontal="center" vertical="center"/>
    </xf>
    <xf numFmtId="165" fontId="8" fillId="0" borderId="0" xfId="0" applyNumberFormat="1" applyFont="1"/>
    <xf numFmtId="0" fontId="4" fillId="0" borderId="0" xfId="0" applyFont="1" applyFill="1" applyBorder="1"/>
    <xf numFmtId="0" fontId="13" fillId="2" borderId="17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13" fillId="2" borderId="17" xfId="1" applyNumberFormat="1" applyFont="1" applyFill="1" applyBorder="1"/>
    <xf numFmtId="0" fontId="13" fillId="2" borderId="17" xfId="0" applyNumberFormat="1" applyFont="1" applyFill="1" applyBorder="1" applyAlignment="1">
      <alignment horizontal="left"/>
    </xf>
    <xf numFmtId="165" fontId="13" fillId="6" borderId="17" xfId="1" applyNumberFormat="1" applyFont="1" applyFill="1" applyBorder="1"/>
    <xf numFmtId="0" fontId="13" fillId="4" borderId="17" xfId="0" applyFont="1" applyFill="1" applyBorder="1"/>
    <xf numFmtId="0" fontId="21" fillId="2" borderId="42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64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1" fillId="2" borderId="65" xfId="0" applyFont="1" applyFill="1" applyBorder="1" applyAlignment="1">
      <alignment horizontal="center" vertical="center" wrapText="1"/>
    </xf>
  </cellXfs>
  <cellStyles count="4">
    <cellStyle name="Comma" xfId="2" builtinId="3"/>
    <cellStyle name="Comma 2" xf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CCFF"/>
      <color rgb="FF00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J225"/>
  <sheetViews>
    <sheetView tabSelected="1" zoomScale="85" zoomScaleNormal="85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9.140625" style="202"/>
    <col min="2" max="2" width="30.85546875" style="202" bestFit="1" customWidth="1"/>
    <col min="3" max="3" width="20.42578125" style="202" bestFit="1" customWidth="1"/>
    <col min="4" max="4" width="20.42578125" style="202" customWidth="1"/>
    <col min="5" max="5" width="21.7109375" style="202" bestFit="1" customWidth="1"/>
    <col min="6" max="6" width="17.7109375" style="202" customWidth="1"/>
    <col min="7" max="7" width="15" style="202" customWidth="1"/>
    <col min="8" max="8" width="15.85546875" style="202" customWidth="1"/>
    <col min="9" max="9" width="19.85546875" style="202" customWidth="1"/>
    <col min="10" max="16384" width="9.140625" style="202"/>
  </cols>
  <sheetData>
    <row r="1" spans="1:10" ht="15.75" customHeight="1" x14ac:dyDescent="0.25">
      <c r="A1" s="295" t="s">
        <v>485</v>
      </c>
      <c r="B1" s="296"/>
      <c r="C1" s="296"/>
      <c r="D1" s="296"/>
      <c r="E1" s="296"/>
      <c r="F1" s="296"/>
      <c r="G1" s="296"/>
      <c r="H1" s="296"/>
      <c r="I1" s="297"/>
    </row>
    <row r="2" spans="1:10" ht="15.75" customHeight="1" thickBot="1" x14ac:dyDescent="0.3">
      <c r="A2" s="298"/>
      <c r="B2" s="299"/>
      <c r="C2" s="299"/>
      <c r="D2" s="299"/>
      <c r="E2" s="299"/>
      <c r="F2" s="299"/>
      <c r="G2" s="299"/>
      <c r="H2" s="299"/>
      <c r="I2" s="300"/>
    </row>
    <row r="3" spans="1:10" ht="20.25" thickTop="1" thickBot="1" x14ac:dyDescent="0.35">
      <c r="A3" s="203" t="s">
        <v>370</v>
      </c>
      <c r="B3" s="204" t="s">
        <v>439</v>
      </c>
      <c r="C3" s="205" t="s">
        <v>7</v>
      </c>
      <c r="D3" s="205" t="s">
        <v>393</v>
      </c>
      <c r="E3" s="204" t="s">
        <v>404</v>
      </c>
      <c r="F3" s="204" t="s">
        <v>405</v>
      </c>
      <c r="G3" s="205" t="s">
        <v>406</v>
      </c>
      <c r="H3" s="204" t="s">
        <v>407</v>
      </c>
      <c r="I3" s="206" t="s">
        <v>408</v>
      </c>
    </row>
    <row r="4" spans="1:10" ht="19.5" thickTop="1" x14ac:dyDescent="0.3">
      <c r="A4" s="208" t="s">
        <v>8</v>
      </c>
      <c r="B4" s="209" t="s">
        <v>186</v>
      </c>
      <c r="C4" s="210">
        <f>'NCLB Title I-A Formula'!G13</f>
        <v>0</v>
      </c>
      <c r="D4" s="210">
        <v>0</v>
      </c>
      <c r="E4" s="210">
        <v>0</v>
      </c>
      <c r="F4" s="210">
        <f>'NCLB Title II-A Formula'!G13</f>
        <v>0</v>
      </c>
      <c r="G4" s="210">
        <f>'NCLB Title III-A '!G13</f>
        <v>0</v>
      </c>
      <c r="H4" s="210">
        <f>'NCLB Title III SAI'!G13</f>
        <v>773</v>
      </c>
      <c r="I4" s="211">
        <v>0</v>
      </c>
      <c r="J4" s="207"/>
    </row>
    <row r="5" spans="1:10" ht="18.75" x14ac:dyDescent="0.3">
      <c r="A5" s="212" t="s">
        <v>9</v>
      </c>
      <c r="B5" s="213" t="s">
        <v>187</v>
      </c>
      <c r="C5" s="210">
        <f>'NCLB Title I-A Formula'!G14</f>
        <v>0</v>
      </c>
      <c r="D5" s="210">
        <v>0</v>
      </c>
      <c r="E5" s="210">
        <v>0</v>
      </c>
      <c r="F5" s="210">
        <f>'NCLB Title II-A Formula'!G14</f>
        <v>0</v>
      </c>
      <c r="G5" s="210">
        <f>'NCLB Title III-A '!G14</f>
        <v>0</v>
      </c>
      <c r="H5" s="210">
        <v>0</v>
      </c>
      <c r="I5" s="211">
        <v>0</v>
      </c>
      <c r="J5" s="207"/>
    </row>
    <row r="6" spans="1:10" ht="18.75" x14ac:dyDescent="0.3">
      <c r="A6" s="212" t="s">
        <v>10</v>
      </c>
      <c r="B6" s="213" t="s">
        <v>188</v>
      </c>
      <c r="C6" s="210">
        <f>'NCLB Title I-A Formula'!G15</f>
        <v>0</v>
      </c>
      <c r="D6" s="210">
        <v>0</v>
      </c>
      <c r="E6" s="210">
        <v>0</v>
      </c>
      <c r="F6" s="210">
        <f>'NCLB Title II-A Formula'!G15</f>
        <v>0</v>
      </c>
      <c r="G6" s="210">
        <f>'NCLB Title III-A '!G15</f>
        <v>0</v>
      </c>
      <c r="H6" s="210">
        <v>0</v>
      </c>
      <c r="I6" s="211">
        <v>0</v>
      </c>
      <c r="J6" s="207"/>
    </row>
    <row r="7" spans="1:10" ht="18.75" x14ac:dyDescent="0.3">
      <c r="A7" s="212" t="s">
        <v>11</v>
      </c>
      <c r="B7" s="213" t="s">
        <v>189</v>
      </c>
      <c r="C7" s="210">
        <f>'NCLB Title I-A Formula'!G16</f>
        <v>0</v>
      </c>
      <c r="D7" s="210">
        <v>0</v>
      </c>
      <c r="E7" s="210">
        <v>0</v>
      </c>
      <c r="F7" s="210">
        <f>'NCLB Title II-A Formula'!G16</f>
        <v>0</v>
      </c>
      <c r="G7" s="210">
        <f>'NCLB Title III-A '!G16</f>
        <v>0</v>
      </c>
      <c r="H7" s="210">
        <v>0</v>
      </c>
      <c r="I7" s="211">
        <v>0</v>
      </c>
      <c r="J7" s="207"/>
    </row>
    <row r="8" spans="1:10" ht="18.75" x14ac:dyDescent="0.3">
      <c r="A8" s="212" t="s">
        <v>12</v>
      </c>
      <c r="B8" s="213" t="s">
        <v>190</v>
      </c>
      <c r="C8" s="210">
        <f>'NCLB Title I-A Formula'!G17</f>
        <v>0</v>
      </c>
      <c r="D8" s="210">
        <v>0</v>
      </c>
      <c r="E8" s="210">
        <v>0</v>
      </c>
      <c r="F8" s="210">
        <f>'NCLB Title II-A Formula'!G17</f>
        <v>0</v>
      </c>
      <c r="G8" s="210">
        <f>'NCLB Title III-A '!G17</f>
        <v>0</v>
      </c>
      <c r="H8" s="210">
        <v>0</v>
      </c>
      <c r="I8" s="211">
        <v>0</v>
      </c>
      <c r="J8" s="207"/>
    </row>
    <row r="9" spans="1:10" ht="18.75" x14ac:dyDescent="0.3">
      <c r="A9" s="212" t="s">
        <v>13</v>
      </c>
      <c r="B9" s="213" t="s">
        <v>191</v>
      </c>
      <c r="C9" s="210">
        <f>'NCLB Title I-A Formula'!G18</f>
        <v>0</v>
      </c>
      <c r="D9" s="210">
        <v>0</v>
      </c>
      <c r="E9" s="210">
        <v>0</v>
      </c>
      <c r="F9" s="210">
        <f>'NCLB Title II-A Formula'!G18</f>
        <v>0</v>
      </c>
      <c r="G9" s="210">
        <v>0</v>
      </c>
      <c r="H9" s="210">
        <v>0</v>
      </c>
      <c r="I9" s="211">
        <v>0</v>
      </c>
      <c r="J9" s="207"/>
    </row>
    <row r="10" spans="1:10" ht="18.75" x14ac:dyDescent="0.3">
      <c r="A10" s="212" t="s">
        <v>14</v>
      </c>
      <c r="B10" s="213" t="s">
        <v>192</v>
      </c>
      <c r="C10" s="210">
        <f>'NCLB Title I-A Formula'!G19</f>
        <v>0</v>
      </c>
      <c r="D10" s="210">
        <v>0</v>
      </c>
      <c r="E10" s="210">
        <v>0</v>
      </c>
      <c r="F10" s="210">
        <f>'NCLB Title II-A Formula'!G19</f>
        <v>0</v>
      </c>
      <c r="G10" s="210">
        <f>'NCLB Title III-A '!G19</f>
        <v>0</v>
      </c>
      <c r="H10" s="210">
        <v>0</v>
      </c>
      <c r="I10" s="211">
        <v>0</v>
      </c>
      <c r="J10" s="207"/>
    </row>
    <row r="11" spans="1:10" ht="18.75" x14ac:dyDescent="0.3">
      <c r="A11" s="212" t="s">
        <v>15</v>
      </c>
      <c r="B11" s="213" t="s">
        <v>193</v>
      </c>
      <c r="C11" s="210">
        <f>'NCLB Title I-A Formula'!G20</f>
        <v>0</v>
      </c>
      <c r="D11" s="210">
        <v>0</v>
      </c>
      <c r="E11" s="210">
        <f>'NCLB Title I-Delinquent'!E18</f>
        <v>0</v>
      </c>
      <c r="F11" s="210">
        <f>'NCLB Title II-A Formula'!G20</f>
        <v>0</v>
      </c>
      <c r="G11" s="210">
        <f>'NCLB Title III-A '!G20</f>
        <v>0</v>
      </c>
      <c r="H11" s="210">
        <f>'NCLB Title III SAI'!$G$20</f>
        <v>0</v>
      </c>
      <c r="I11" s="211">
        <f>'TITLE VI RURAL LI'!$E$20</f>
        <v>0</v>
      </c>
      <c r="J11" s="207"/>
    </row>
    <row r="12" spans="1:10" ht="18.75" x14ac:dyDescent="0.3">
      <c r="A12" s="212" t="s">
        <v>16</v>
      </c>
      <c r="B12" s="213" t="s">
        <v>194</v>
      </c>
      <c r="C12" s="210">
        <f>'NCLB Title I-A Formula'!G21</f>
        <v>0</v>
      </c>
      <c r="D12" s="210">
        <v>0</v>
      </c>
      <c r="E12" s="210">
        <v>0</v>
      </c>
      <c r="F12" s="210">
        <f>'NCLB Title II-A Formula'!G21</f>
        <v>0</v>
      </c>
      <c r="G12" s="210">
        <v>0</v>
      </c>
      <c r="H12" s="210">
        <v>0</v>
      </c>
      <c r="I12" s="211">
        <v>0</v>
      </c>
      <c r="J12" s="207"/>
    </row>
    <row r="13" spans="1:10" ht="18.75" x14ac:dyDescent="0.3">
      <c r="A13" s="212" t="s">
        <v>17</v>
      </c>
      <c r="B13" s="213" t="s">
        <v>195</v>
      </c>
      <c r="C13" s="210">
        <f>'NCLB Title I-A Formula'!G22</f>
        <v>0</v>
      </c>
      <c r="D13" s="210">
        <v>0</v>
      </c>
      <c r="E13" s="210">
        <v>0</v>
      </c>
      <c r="F13" s="210">
        <f>'NCLB Title II-A Formula'!G22</f>
        <v>0</v>
      </c>
      <c r="G13" s="210">
        <f>'NCLB Title III-A '!G22</f>
        <v>0</v>
      </c>
      <c r="H13" s="210">
        <f>'NCLB Title III SAI'!$G$22</f>
        <v>0</v>
      </c>
      <c r="I13" s="211">
        <v>0</v>
      </c>
      <c r="J13" s="207"/>
    </row>
    <row r="14" spans="1:10" ht="18.75" x14ac:dyDescent="0.3">
      <c r="A14" s="212" t="s">
        <v>18</v>
      </c>
      <c r="B14" s="213" t="s">
        <v>196</v>
      </c>
      <c r="C14" s="210">
        <f>'NCLB Title I-A Formula'!G23</f>
        <v>0</v>
      </c>
      <c r="D14" s="210">
        <v>0</v>
      </c>
      <c r="E14" s="210">
        <v>0</v>
      </c>
      <c r="F14" s="210">
        <f>'NCLB Title II-A Formula'!G23</f>
        <v>0</v>
      </c>
      <c r="G14" s="210">
        <f>'NCLB Title III-A '!G23</f>
        <v>0</v>
      </c>
      <c r="H14" s="210">
        <v>0</v>
      </c>
      <c r="I14" s="211">
        <v>0</v>
      </c>
      <c r="J14" s="207"/>
    </row>
    <row r="15" spans="1:10" ht="18.75" x14ac:dyDescent="0.3">
      <c r="A15" s="212" t="s">
        <v>19</v>
      </c>
      <c r="B15" s="213" t="s">
        <v>197</v>
      </c>
      <c r="C15" s="210">
        <f>'NCLB Title I-A Formula'!G24</f>
        <v>0</v>
      </c>
      <c r="D15" s="210">
        <v>0</v>
      </c>
      <c r="E15" s="210">
        <f>'NCLB Title I-Delinquent'!E22</f>
        <v>0</v>
      </c>
      <c r="F15" s="210">
        <f>'NCLB Title II-A Formula'!G24</f>
        <v>0</v>
      </c>
      <c r="G15" s="210">
        <f>'NCLB Title III-A '!G24</f>
        <v>0</v>
      </c>
      <c r="H15" s="210">
        <f>'NCLB Title III SAI'!$G$24</f>
        <v>0</v>
      </c>
      <c r="I15" s="211">
        <v>0</v>
      </c>
      <c r="J15" s="207"/>
    </row>
    <row r="16" spans="1:10" ht="18.75" x14ac:dyDescent="0.3">
      <c r="A16" s="212" t="s">
        <v>20</v>
      </c>
      <c r="B16" s="213" t="s">
        <v>198</v>
      </c>
      <c r="C16" s="210">
        <f>'NCLB Title I-A Formula'!G25</f>
        <v>0</v>
      </c>
      <c r="D16" s="210">
        <v>0</v>
      </c>
      <c r="E16" s="210">
        <v>0</v>
      </c>
      <c r="F16" s="210">
        <f>'NCLB Title II-A Formula'!G25</f>
        <v>0</v>
      </c>
      <c r="G16" s="210">
        <f>'NCLB Title III-A '!G25</f>
        <v>0</v>
      </c>
      <c r="H16" s="210">
        <f>'NCLB Title III SAI'!G25</f>
        <v>5893</v>
      </c>
      <c r="I16" s="211">
        <v>0</v>
      </c>
      <c r="J16" s="207"/>
    </row>
    <row r="17" spans="1:10" ht="18.75" x14ac:dyDescent="0.3">
      <c r="A17" s="212" t="s">
        <v>21</v>
      </c>
      <c r="B17" s="213" t="s">
        <v>199</v>
      </c>
      <c r="C17" s="210">
        <f>'NCLB Title I-A Formula'!G26</f>
        <v>0</v>
      </c>
      <c r="D17" s="210">
        <v>0</v>
      </c>
      <c r="E17" s="210">
        <v>0</v>
      </c>
      <c r="F17" s="210">
        <f>'NCLB Title II-A Formula'!G26</f>
        <v>0</v>
      </c>
      <c r="G17" s="210">
        <f>'NCLB Title III-A '!G26</f>
        <v>0</v>
      </c>
      <c r="H17" s="210">
        <v>0</v>
      </c>
      <c r="I17" s="211">
        <v>0</v>
      </c>
      <c r="J17" s="207"/>
    </row>
    <row r="18" spans="1:10" ht="18.75" x14ac:dyDescent="0.3">
      <c r="A18" s="212" t="s">
        <v>22</v>
      </c>
      <c r="B18" s="213" t="s">
        <v>200</v>
      </c>
      <c r="C18" s="210">
        <f>'NCLB Title I-A Formula'!G27</f>
        <v>0</v>
      </c>
      <c r="D18" s="210">
        <f>'NCLB Title I-C Migrant'!$E$25</f>
        <v>150054</v>
      </c>
      <c r="E18" s="210">
        <f>'NCLB Title I-Delinquent'!E25</f>
        <v>0</v>
      </c>
      <c r="F18" s="210">
        <f>'NCLB Title II-A Formula'!G27</f>
        <v>0</v>
      </c>
      <c r="G18" s="210">
        <f>'NCLB Title III-A '!G27</f>
        <v>0</v>
      </c>
      <c r="H18" s="210">
        <f>'NCLB Title III SAI'!G27</f>
        <v>2702</v>
      </c>
      <c r="I18" s="211">
        <v>0</v>
      </c>
      <c r="J18" s="207"/>
    </row>
    <row r="19" spans="1:10" ht="18.75" x14ac:dyDescent="0.3">
      <c r="A19" s="212" t="s">
        <v>23</v>
      </c>
      <c r="B19" s="213" t="s">
        <v>201</v>
      </c>
      <c r="C19" s="210">
        <f>'NCLB Title I-A Formula'!G28</f>
        <v>0</v>
      </c>
      <c r="D19" s="210">
        <v>0</v>
      </c>
      <c r="E19" s="210">
        <v>0</v>
      </c>
      <c r="F19" s="210">
        <f>'NCLB Title II-A Formula'!G28</f>
        <v>0</v>
      </c>
      <c r="G19" s="210">
        <v>0</v>
      </c>
      <c r="H19" s="210">
        <v>0</v>
      </c>
      <c r="I19" s="211">
        <v>0</v>
      </c>
      <c r="J19" s="207"/>
    </row>
    <row r="20" spans="1:10" ht="18.75" x14ac:dyDescent="0.3">
      <c r="A20" s="212" t="s">
        <v>24</v>
      </c>
      <c r="B20" s="213" t="s">
        <v>202</v>
      </c>
      <c r="C20" s="210">
        <f>'NCLB Title I-A Formula'!G29</f>
        <v>0</v>
      </c>
      <c r="D20" s="210">
        <v>0</v>
      </c>
      <c r="E20" s="210">
        <v>0</v>
      </c>
      <c r="F20" s="210">
        <f>'NCLB Title II-A Formula'!G29</f>
        <v>0</v>
      </c>
      <c r="G20" s="210">
        <v>0</v>
      </c>
      <c r="H20" s="210">
        <v>0</v>
      </c>
      <c r="I20" s="211">
        <v>0</v>
      </c>
      <c r="J20" s="207"/>
    </row>
    <row r="21" spans="1:10" ht="18.75" x14ac:dyDescent="0.3">
      <c r="A21" s="212" t="s">
        <v>25</v>
      </c>
      <c r="B21" s="213" t="s">
        <v>203</v>
      </c>
      <c r="C21" s="210">
        <f>'NCLB Title I-A Formula'!G30</f>
        <v>0</v>
      </c>
      <c r="D21" s="210">
        <v>0</v>
      </c>
      <c r="E21" s="210">
        <v>0</v>
      </c>
      <c r="F21" s="210">
        <f>'NCLB Title II-A Formula'!G30</f>
        <v>0</v>
      </c>
      <c r="G21" s="210">
        <f>'NCLB Title III-A '!G30</f>
        <v>0</v>
      </c>
      <c r="H21" s="210">
        <v>0</v>
      </c>
      <c r="I21" s="211">
        <v>0</v>
      </c>
      <c r="J21" s="207"/>
    </row>
    <row r="22" spans="1:10" ht="18.75" x14ac:dyDescent="0.3">
      <c r="A22" s="212" t="s">
        <v>26</v>
      </c>
      <c r="B22" s="213" t="s">
        <v>204</v>
      </c>
      <c r="C22" s="210">
        <f>'NCLB Title I-A Formula'!G31</f>
        <v>0</v>
      </c>
      <c r="D22" s="210">
        <v>0</v>
      </c>
      <c r="E22" s="210">
        <v>0</v>
      </c>
      <c r="F22" s="210">
        <f>'NCLB Title II-A Formula'!G31</f>
        <v>0</v>
      </c>
      <c r="G22" s="210">
        <f>'NCLB Title III-A '!G31</f>
        <v>0</v>
      </c>
      <c r="H22" s="210">
        <v>0</v>
      </c>
      <c r="I22" s="211">
        <v>0</v>
      </c>
      <c r="J22" s="207"/>
    </row>
    <row r="23" spans="1:10" ht="18.75" x14ac:dyDescent="0.3">
      <c r="A23" s="212" t="s">
        <v>27</v>
      </c>
      <c r="B23" s="213" t="s">
        <v>205</v>
      </c>
      <c r="C23" s="210">
        <f>'NCLB Title I-A Formula'!G32</f>
        <v>0</v>
      </c>
      <c r="D23" s="210">
        <v>0</v>
      </c>
      <c r="E23" s="210">
        <v>0</v>
      </c>
      <c r="F23" s="210">
        <f>'NCLB Title II-A Formula'!G32</f>
        <v>0</v>
      </c>
      <c r="G23" s="210">
        <v>0</v>
      </c>
      <c r="H23" s="210">
        <v>0</v>
      </c>
      <c r="I23" s="211">
        <v>0</v>
      </c>
      <c r="J23" s="207"/>
    </row>
    <row r="24" spans="1:10" ht="18.75" x14ac:dyDescent="0.3">
      <c r="A24" s="212" t="s">
        <v>28</v>
      </c>
      <c r="B24" s="213" t="s">
        <v>206</v>
      </c>
      <c r="C24" s="210">
        <f>'NCLB Title I-A Formula'!G33</f>
        <v>0</v>
      </c>
      <c r="D24" s="210">
        <v>0</v>
      </c>
      <c r="E24" s="210">
        <v>0</v>
      </c>
      <c r="F24" s="210">
        <f>'NCLB Title II-A Formula'!G33</f>
        <v>0</v>
      </c>
      <c r="G24" s="210">
        <f>'NCLB Title III-A '!G33</f>
        <v>0</v>
      </c>
      <c r="H24" s="210">
        <v>0</v>
      </c>
      <c r="I24" s="211">
        <v>0</v>
      </c>
      <c r="J24" s="207"/>
    </row>
    <row r="25" spans="1:10" ht="18.75" x14ac:dyDescent="0.3">
      <c r="A25" s="212" t="s">
        <v>29</v>
      </c>
      <c r="B25" s="213" t="s">
        <v>207</v>
      </c>
      <c r="C25" s="210">
        <f>'NCLB Title I-A Formula'!G34</f>
        <v>0</v>
      </c>
      <c r="D25" s="210">
        <v>0</v>
      </c>
      <c r="E25" s="210">
        <v>0</v>
      </c>
      <c r="F25" s="210">
        <f>'NCLB Title II-A Formula'!G34</f>
        <v>0</v>
      </c>
      <c r="G25" s="210">
        <f>'NCLB Title III-A '!G34</f>
        <v>0</v>
      </c>
      <c r="H25" s="210">
        <v>0</v>
      </c>
      <c r="I25" s="211">
        <v>0</v>
      </c>
      <c r="J25" s="207"/>
    </row>
    <row r="26" spans="1:10" ht="18.75" x14ac:dyDescent="0.3">
      <c r="A26" s="212" t="s">
        <v>30</v>
      </c>
      <c r="B26" s="213" t="s">
        <v>208</v>
      </c>
      <c r="C26" s="210">
        <f>'NCLB Title I-A Formula'!G35</f>
        <v>0</v>
      </c>
      <c r="D26" s="210">
        <v>0</v>
      </c>
      <c r="E26" s="210">
        <v>0</v>
      </c>
      <c r="F26" s="210">
        <f>'NCLB Title II-A Formula'!G35</f>
        <v>0</v>
      </c>
      <c r="G26" s="210">
        <f>'NCLB Title III-A '!G35</f>
        <v>0</v>
      </c>
      <c r="H26" s="210">
        <v>0</v>
      </c>
      <c r="I26" s="211">
        <v>0</v>
      </c>
      <c r="J26" s="207"/>
    </row>
    <row r="27" spans="1:10" ht="18.75" x14ac:dyDescent="0.3">
      <c r="A27" s="212" t="s">
        <v>31</v>
      </c>
      <c r="B27" s="213" t="s">
        <v>209</v>
      </c>
      <c r="C27" s="210">
        <f>'NCLB Title I-A Formula'!G36</f>
        <v>0</v>
      </c>
      <c r="D27" s="210">
        <v>0</v>
      </c>
      <c r="E27" s="210">
        <v>0</v>
      </c>
      <c r="F27" s="210">
        <f>'NCLB Title II-A Formula'!G36</f>
        <v>0</v>
      </c>
      <c r="G27" s="210">
        <v>0</v>
      </c>
      <c r="H27" s="210">
        <v>0</v>
      </c>
      <c r="I27" s="211">
        <v>0</v>
      </c>
      <c r="J27" s="207"/>
    </row>
    <row r="28" spans="1:10" ht="18.75" x14ac:dyDescent="0.3">
      <c r="A28" s="212" t="s">
        <v>32</v>
      </c>
      <c r="B28" s="213" t="s">
        <v>210</v>
      </c>
      <c r="C28" s="210">
        <f>'NCLB Title I-A Formula'!G37</f>
        <v>0</v>
      </c>
      <c r="D28" s="210">
        <v>0</v>
      </c>
      <c r="E28" s="210">
        <v>0</v>
      </c>
      <c r="F28" s="210">
        <f>'NCLB Title II-A Formula'!G37</f>
        <v>0</v>
      </c>
      <c r="G28" s="210">
        <f>'NCLB Title III-A '!G37</f>
        <v>0</v>
      </c>
      <c r="H28" s="210">
        <v>0</v>
      </c>
      <c r="I28" s="211">
        <v>0</v>
      </c>
      <c r="J28" s="207"/>
    </row>
    <row r="29" spans="1:10" ht="18.75" x14ac:dyDescent="0.3">
      <c r="A29" s="212" t="s">
        <v>33</v>
      </c>
      <c r="B29" s="213" t="s">
        <v>211</v>
      </c>
      <c r="C29" s="210">
        <f>'NCLB Title I-A Formula'!G38</f>
        <v>0</v>
      </c>
      <c r="D29" s="210">
        <v>0</v>
      </c>
      <c r="E29" s="210">
        <v>0</v>
      </c>
      <c r="F29" s="210">
        <f>'NCLB Title II-A Formula'!G38</f>
        <v>0</v>
      </c>
      <c r="G29" s="210">
        <f>'NCLB Title III-A '!G38</f>
        <v>0</v>
      </c>
      <c r="H29" s="210">
        <f>'NCLB Title III SAI'!$G$38</f>
        <v>0</v>
      </c>
      <c r="I29" s="211">
        <v>0</v>
      </c>
      <c r="J29" s="207"/>
    </row>
    <row r="30" spans="1:10" ht="18.75" x14ac:dyDescent="0.3">
      <c r="A30" s="212" t="s">
        <v>34</v>
      </c>
      <c r="B30" s="213" t="s">
        <v>212</v>
      </c>
      <c r="C30" s="210">
        <f>'NCLB Title I-A Formula'!G39</f>
        <v>0</v>
      </c>
      <c r="D30" s="210">
        <v>0</v>
      </c>
      <c r="E30" s="210">
        <v>0</v>
      </c>
      <c r="F30" s="210">
        <f>'NCLB Title II-A Formula'!G39</f>
        <v>0</v>
      </c>
      <c r="G30" s="210">
        <f>'NCLB Title III-A '!G39</f>
        <v>0</v>
      </c>
      <c r="H30" s="210">
        <v>0</v>
      </c>
      <c r="I30" s="211">
        <v>0</v>
      </c>
      <c r="J30" s="207"/>
    </row>
    <row r="31" spans="1:10" ht="18.75" x14ac:dyDescent="0.3">
      <c r="A31" s="212" t="s">
        <v>35</v>
      </c>
      <c r="B31" s="213" t="s">
        <v>213</v>
      </c>
      <c r="C31" s="210">
        <f>'NCLB Title I-A Formula'!G40</f>
        <v>0</v>
      </c>
      <c r="D31" s="210">
        <v>0</v>
      </c>
      <c r="E31" s="210">
        <v>0</v>
      </c>
      <c r="F31" s="210">
        <f>'NCLB Title II-A Formula'!G40</f>
        <v>0</v>
      </c>
      <c r="G31" s="210">
        <v>0</v>
      </c>
      <c r="H31" s="210">
        <f>'NCLB Title III SAI'!$G$40</f>
        <v>0</v>
      </c>
      <c r="I31" s="211">
        <v>0</v>
      </c>
      <c r="J31" s="207"/>
    </row>
    <row r="32" spans="1:10" ht="18.75" x14ac:dyDescent="0.3">
      <c r="A32" s="212" t="s">
        <v>36</v>
      </c>
      <c r="B32" s="213" t="s">
        <v>214</v>
      </c>
      <c r="C32" s="210">
        <f>'NCLB Title I-A Formula'!G41</f>
        <v>18471</v>
      </c>
      <c r="D32" s="210">
        <v>0</v>
      </c>
      <c r="E32" s="210">
        <v>0</v>
      </c>
      <c r="F32" s="210">
        <f>'NCLB Title II-A Formula'!G41</f>
        <v>4770</v>
      </c>
      <c r="G32" s="210">
        <v>0</v>
      </c>
      <c r="H32" s="210">
        <v>0</v>
      </c>
      <c r="I32" s="211">
        <v>0</v>
      </c>
      <c r="J32" s="207"/>
    </row>
    <row r="33" spans="1:10" ht="18.75" x14ac:dyDescent="0.3">
      <c r="A33" s="212" t="s">
        <v>37</v>
      </c>
      <c r="B33" s="213" t="s">
        <v>215</v>
      </c>
      <c r="C33" s="210">
        <f>'NCLB Title I-A Formula'!G42</f>
        <v>0</v>
      </c>
      <c r="D33" s="210">
        <v>0</v>
      </c>
      <c r="E33" s="210">
        <v>0</v>
      </c>
      <c r="F33" s="210">
        <f>'NCLB Title II-A Formula'!G42</f>
        <v>0</v>
      </c>
      <c r="G33" s="210">
        <f>'NCLB Title III-A '!G42</f>
        <v>0</v>
      </c>
      <c r="H33" s="210">
        <v>0</v>
      </c>
      <c r="I33" s="211">
        <v>0</v>
      </c>
      <c r="J33" s="207"/>
    </row>
    <row r="34" spans="1:10" ht="18.75" x14ac:dyDescent="0.3">
      <c r="A34" s="212" t="s">
        <v>38</v>
      </c>
      <c r="B34" s="213" t="s">
        <v>216</v>
      </c>
      <c r="C34" s="210">
        <f>'NCLB Title I-A Formula'!G43</f>
        <v>0</v>
      </c>
      <c r="D34" s="210">
        <v>0</v>
      </c>
      <c r="E34" s="210">
        <v>0</v>
      </c>
      <c r="F34" s="210">
        <f>'NCLB Title II-A Formula'!G43</f>
        <v>0</v>
      </c>
      <c r="G34" s="210">
        <f>'NCLB Title III-A '!G43</f>
        <v>0</v>
      </c>
      <c r="H34" s="210">
        <v>0</v>
      </c>
      <c r="I34" s="211">
        <v>0</v>
      </c>
      <c r="J34" s="207"/>
    </row>
    <row r="35" spans="1:10" ht="18.75" x14ac:dyDescent="0.3">
      <c r="A35" s="212" t="s">
        <v>39</v>
      </c>
      <c r="B35" s="213" t="s">
        <v>217</v>
      </c>
      <c r="C35" s="210">
        <f>'NCLB Title I-A Formula'!G44</f>
        <v>0</v>
      </c>
      <c r="D35" s="210">
        <v>0</v>
      </c>
      <c r="E35" s="210">
        <v>0</v>
      </c>
      <c r="F35" s="210">
        <f>'NCLB Title II-A Formula'!G44</f>
        <v>0</v>
      </c>
      <c r="G35" s="210">
        <f>'NCLB Title III-A '!G44</f>
        <v>0</v>
      </c>
      <c r="H35" s="210">
        <v>0</v>
      </c>
      <c r="I35" s="211">
        <v>0</v>
      </c>
      <c r="J35" s="207"/>
    </row>
    <row r="36" spans="1:10" ht="18.75" x14ac:dyDescent="0.3">
      <c r="A36" s="212" t="s">
        <v>40</v>
      </c>
      <c r="B36" s="213" t="s">
        <v>218</v>
      </c>
      <c r="C36" s="210">
        <f>'NCLB Title I-A Formula'!G45</f>
        <v>0</v>
      </c>
      <c r="D36" s="210">
        <v>0</v>
      </c>
      <c r="E36" s="210">
        <v>0</v>
      </c>
      <c r="F36" s="210">
        <f>'NCLB Title II-A Formula'!G45</f>
        <v>0</v>
      </c>
      <c r="G36" s="210">
        <f>'NCLB Title III-A '!G45</f>
        <v>0</v>
      </c>
      <c r="H36" s="210">
        <v>0</v>
      </c>
      <c r="I36" s="211">
        <v>0</v>
      </c>
      <c r="J36" s="207"/>
    </row>
    <row r="37" spans="1:10" ht="18.75" x14ac:dyDescent="0.3">
      <c r="A37" s="212" t="s">
        <v>41</v>
      </c>
      <c r="B37" s="213" t="s">
        <v>219</v>
      </c>
      <c r="C37" s="210">
        <f>'NCLB Title I-A Formula'!G46</f>
        <v>0</v>
      </c>
      <c r="D37" s="210">
        <v>0</v>
      </c>
      <c r="E37" s="210">
        <v>0</v>
      </c>
      <c r="F37" s="210">
        <f>'NCLB Title II-A Formula'!G46</f>
        <v>0</v>
      </c>
      <c r="G37" s="210">
        <f>'NCLB Title III-A '!G46</f>
        <v>0</v>
      </c>
      <c r="H37" s="210">
        <v>0</v>
      </c>
      <c r="I37" s="211">
        <v>0</v>
      </c>
      <c r="J37" s="207"/>
    </row>
    <row r="38" spans="1:10" ht="18.75" x14ac:dyDescent="0.3">
      <c r="A38" s="212" t="s">
        <v>42</v>
      </c>
      <c r="B38" s="213" t="s">
        <v>220</v>
      </c>
      <c r="C38" s="210">
        <f>'NCLB Title I-A Formula'!G47</f>
        <v>0</v>
      </c>
      <c r="D38" s="210">
        <v>0</v>
      </c>
      <c r="E38" s="210">
        <v>0</v>
      </c>
      <c r="F38" s="210">
        <f>'NCLB Title II-A Formula'!G47</f>
        <v>0</v>
      </c>
      <c r="G38" s="210">
        <v>0</v>
      </c>
      <c r="H38" s="210">
        <v>0</v>
      </c>
      <c r="I38" s="211">
        <v>0</v>
      </c>
      <c r="J38" s="207"/>
    </row>
    <row r="39" spans="1:10" ht="18.75" x14ac:dyDescent="0.3">
      <c r="A39" s="212" t="s">
        <v>43</v>
      </c>
      <c r="B39" s="213" t="s">
        <v>221</v>
      </c>
      <c r="C39" s="210">
        <f>'NCLB Title I-A Formula'!G48</f>
        <v>0</v>
      </c>
      <c r="D39" s="210">
        <v>0</v>
      </c>
      <c r="E39" s="210">
        <v>0</v>
      </c>
      <c r="F39" s="210">
        <f>'NCLB Title II-A Formula'!G48</f>
        <v>0</v>
      </c>
      <c r="G39" s="210">
        <f>'NCLB Title III-A '!G48</f>
        <v>0</v>
      </c>
      <c r="H39" s="210">
        <v>0</v>
      </c>
      <c r="I39" s="211">
        <v>0</v>
      </c>
      <c r="J39" s="207"/>
    </row>
    <row r="40" spans="1:10" ht="18.75" x14ac:dyDescent="0.3">
      <c r="A40" s="212" t="s">
        <v>44</v>
      </c>
      <c r="B40" s="213" t="s">
        <v>222</v>
      </c>
      <c r="C40" s="210">
        <f>'NCLB Title I-A Formula'!G49</f>
        <v>0</v>
      </c>
      <c r="D40" s="210">
        <v>0</v>
      </c>
      <c r="E40" s="210">
        <v>0</v>
      </c>
      <c r="F40" s="210">
        <f>'NCLB Title II-A Formula'!G49</f>
        <v>0</v>
      </c>
      <c r="G40" s="210">
        <v>0</v>
      </c>
      <c r="H40" s="210">
        <v>0</v>
      </c>
      <c r="I40" s="211">
        <v>0</v>
      </c>
      <c r="J40" s="207"/>
    </row>
    <row r="41" spans="1:10" ht="18.75" x14ac:dyDescent="0.3">
      <c r="A41" s="212" t="s">
        <v>45</v>
      </c>
      <c r="B41" s="213" t="s">
        <v>223</v>
      </c>
      <c r="C41" s="210">
        <f>'NCLB Title I-A Formula'!G50</f>
        <v>0</v>
      </c>
      <c r="D41" s="210">
        <v>0</v>
      </c>
      <c r="E41" s="210">
        <v>0</v>
      </c>
      <c r="F41" s="210">
        <f>'NCLB Title II-A Formula'!G50</f>
        <v>0</v>
      </c>
      <c r="G41" s="210">
        <f>'NCLB Title III-A '!G50</f>
        <v>0</v>
      </c>
      <c r="H41" s="210">
        <v>0</v>
      </c>
      <c r="I41" s="211">
        <v>0</v>
      </c>
      <c r="J41" s="207"/>
    </row>
    <row r="42" spans="1:10" ht="18.75" x14ac:dyDescent="0.3">
      <c r="A42" s="212" t="s">
        <v>46</v>
      </c>
      <c r="B42" s="213" t="s">
        <v>224</v>
      </c>
      <c r="C42" s="210">
        <f>'NCLB Title I-A Formula'!G51</f>
        <v>0</v>
      </c>
      <c r="D42" s="210">
        <v>0</v>
      </c>
      <c r="E42" s="210">
        <v>0</v>
      </c>
      <c r="F42" s="210">
        <f>'NCLB Title II-A Formula'!G51</f>
        <v>0</v>
      </c>
      <c r="G42" s="210">
        <f>'NCLB Title III-A '!G51</f>
        <v>0</v>
      </c>
      <c r="H42" s="210">
        <v>0</v>
      </c>
      <c r="I42" s="211">
        <v>0</v>
      </c>
      <c r="J42" s="207"/>
    </row>
    <row r="43" spans="1:10" ht="18.75" x14ac:dyDescent="0.3">
      <c r="A43" s="212" t="s">
        <v>47</v>
      </c>
      <c r="B43" s="213" t="s">
        <v>225</v>
      </c>
      <c r="C43" s="210">
        <f>'NCLB Title I-A Formula'!G52</f>
        <v>0</v>
      </c>
      <c r="D43" s="210">
        <v>0</v>
      </c>
      <c r="E43" s="210">
        <f>'NCLB Title I-Delinquent'!E50</f>
        <v>0</v>
      </c>
      <c r="F43" s="210">
        <f>'NCLB Title II-A Formula'!G52</f>
        <v>0</v>
      </c>
      <c r="G43" s="210">
        <f>'NCLB Title III-A '!G52</f>
        <v>0</v>
      </c>
      <c r="H43" s="210">
        <f>'NCLB Title III SAI'!$G$52</f>
        <v>0</v>
      </c>
      <c r="I43" s="211">
        <v>0</v>
      </c>
      <c r="J43" s="207"/>
    </row>
    <row r="44" spans="1:10" ht="18.75" x14ac:dyDescent="0.3">
      <c r="A44" s="212" t="s">
        <v>48</v>
      </c>
      <c r="B44" s="213" t="s">
        <v>226</v>
      </c>
      <c r="C44" s="210">
        <f>'NCLB Title I-A Formula'!G53</f>
        <v>0</v>
      </c>
      <c r="D44" s="210">
        <v>0</v>
      </c>
      <c r="E44" s="210">
        <v>0</v>
      </c>
      <c r="F44" s="210">
        <f>'NCLB Title II-A Formula'!G53</f>
        <v>0</v>
      </c>
      <c r="G44" s="210">
        <f>'NCLB Title III-A '!G53</f>
        <v>0</v>
      </c>
      <c r="H44" s="210">
        <v>0</v>
      </c>
      <c r="I44" s="211">
        <v>0</v>
      </c>
      <c r="J44" s="207"/>
    </row>
    <row r="45" spans="1:10" ht="18.75" x14ac:dyDescent="0.3">
      <c r="A45" s="212" t="s">
        <v>49</v>
      </c>
      <c r="B45" s="213" t="s">
        <v>227</v>
      </c>
      <c r="C45" s="210">
        <f>'NCLB Title I-A Formula'!G54</f>
        <v>0</v>
      </c>
      <c r="D45" s="210">
        <v>0</v>
      </c>
      <c r="E45" s="210">
        <v>0</v>
      </c>
      <c r="F45" s="210">
        <f>'NCLB Title II-A Formula'!G54</f>
        <v>0</v>
      </c>
      <c r="G45" s="210">
        <f>'NCLB Title III-A '!G54</f>
        <v>0</v>
      </c>
      <c r="H45" s="210">
        <v>0</v>
      </c>
      <c r="I45" s="211">
        <v>0</v>
      </c>
      <c r="J45" s="207"/>
    </row>
    <row r="46" spans="1:10" ht="18.75" x14ac:dyDescent="0.3">
      <c r="A46" s="212" t="s">
        <v>50</v>
      </c>
      <c r="B46" s="213" t="s">
        <v>228</v>
      </c>
      <c r="C46" s="210">
        <f>'NCLB Title I-A Formula'!G55</f>
        <v>0</v>
      </c>
      <c r="D46" s="210">
        <f>'NCLB Title I-C Migrant'!$E$53</f>
        <v>0</v>
      </c>
      <c r="E46" s="210">
        <v>0</v>
      </c>
      <c r="F46" s="210">
        <f>'NCLB Title II-A Formula'!G55</f>
        <v>0</v>
      </c>
      <c r="G46" s="210">
        <f>'NCLB Title III-A '!G55</f>
        <v>0</v>
      </c>
      <c r="H46" s="210">
        <v>0</v>
      </c>
      <c r="I46" s="211">
        <v>0</v>
      </c>
      <c r="J46" s="207"/>
    </row>
    <row r="47" spans="1:10" ht="18.75" x14ac:dyDescent="0.3">
      <c r="A47" s="212" t="s">
        <v>51</v>
      </c>
      <c r="B47" s="213" t="s">
        <v>229</v>
      </c>
      <c r="C47" s="210">
        <f>'NCLB Title I-A Formula'!G56</f>
        <v>0</v>
      </c>
      <c r="D47" s="210">
        <v>0</v>
      </c>
      <c r="E47" s="210">
        <v>0</v>
      </c>
      <c r="F47" s="210">
        <f>'NCLB Title II-A Formula'!G56</f>
        <v>0</v>
      </c>
      <c r="G47" s="210">
        <f>'NCLB Title III-A '!G56</f>
        <v>0</v>
      </c>
      <c r="H47" s="210">
        <v>0</v>
      </c>
      <c r="I47" s="211">
        <v>0</v>
      </c>
      <c r="J47" s="207"/>
    </row>
    <row r="48" spans="1:10" ht="18.75" x14ac:dyDescent="0.3">
      <c r="A48" s="212" t="s">
        <v>52</v>
      </c>
      <c r="B48" s="213" t="s">
        <v>230</v>
      </c>
      <c r="C48" s="210">
        <f>'NCLB Title I-A Formula'!G57</f>
        <v>0</v>
      </c>
      <c r="D48" s="210">
        <v>0</v>
      </c>
      <c r="E48" s="210">
        <v>0</v>
      </c>
      <c r="F48" s="210">
        <f>'NCLB Title II-A Formula'!G57</f>
        <v>0</v>
      </c>
      <c r="G48" s="210">
        <f>'NCLB Title III-A '!G57</f>
        <v>0</v>
      </c>
      <c r="H48" s="210">
        <v>0</v>
      </c>
      <c r="I48" s="211">
        <v>0</v>
      </c>
      <c r="J48" s="207"/>
    </row>
    <row r="49" spans="1:10" ht="18.75" x14ac:dyDescent="0.3">
      <c r="A49" s="212" t="s">
        <v>53</v>
      </c>
      <c r="B49" s="213" t="s">
        <v>231</v>
      </c>
      <c r="C49" s="210">
        <f>'NCLB Title I-A Formula'!G58</f>
        <v>0</v>
      </c>
      <c r="D49" s="210">
        <v>0</v>
      </c>
      <c r="E49" s="210">
        <v>0</v>
      </c>
      <c r="F49" s="210">
        <f>'NCLB Title II-A Formula'!G58</f>
        <v>0</v>
      </c>
      <c r="G49" s="210">
        <v>0</v>
      </c>
      <c r="H49" s="210">
        <v>0</v>
      </c>
      <c r="I49" s="211">
        <v>0</v>
      </c>
      <c r="J49" s="207"/>
    </row>
    <row r="50" spans="1:10" ht="18.75" x14ac:dyDescent="0.3">
      <c r="A50" s="212" t="s">
        <v>54</v>
      </c>
      <c r="B50" s="213" t="s">
        <v>232</v>
      </c>
      <c r="C50" s="210">
        <f>'NCLB Title I-A Formula'!G59</f>
        <v>0</v>
      </c>
      <c r="D50" s="210">
        <v>0</v>
      </c>
      <c r="E50" s="210">
        <v>0</v>
      </c>
      <c r="F50" s="210">
        <f>'NCLB Title II-A Formula'!G59</f>
        <v>0</v>
      </c>
      <c r="G50" s="210">
        <f>'NCLB Title III-A '!G59</f>
        <v>0</v>
      </c>
      <c r="H50" s="210">
        <v>0</v>
      </c>
      <c r="I50" s="211">
        <v>0</v>
      </c>
      <c r="J50" s="207"/>
    </row>
    <row r="51" spans="1:10" ht="18.75" x14ac:dyDescent="0.3">
      <c r="A51" s="212" t="s">
        <v>55</v>
      </c>
      <c r="B51" s="213" t="s">
        <v>233</v>
      </c>
      <c r="C51" s="210">
        <f>'NCLB Title I-A Formula'!G60</f>
        <v>0</v>
      </c>
      <c r="D51" s="210">
        <v>0</v>
      </c>
      <c r="E51" s="210">
        <v>0</v>
      </c>
      <c r="F51" s="210">
        <f>'NCLB Title II-A Formula'!G60</f>
        <v>0</v>
      </c>
      <c r="G51" s="210">
        <f>'NCLB Title III-A '!G60</f>
        <v>0</v>
      </c>
      <c r="H51" s="210">
        <v>0</v>
      </c>
      <c r="I51" s="211">
        <v>0</v>
      </c>
      <c r="J51" s="207"/>
    </row>
    <row r="52" spans="1:10" ht="18.75" x14ac:dyDescent="0.3">
      <c r="A52" s="212" t="s">
        <v>56</v>
      </c>
      <c r="B52" s="213" t="s">
        <v>234</v>
      </c>
      <c r="C52" s="210">
        <f>'NCLB Title I-A Formula'!G61</f>
        <v>0</v>
      </c>
      <c r="D52" s="210">
        <v>0</v>
      </c>
      <c r="E52" s="210">
        <v>0</v>
      </c>
      <c r="F52" s="210">
        <f>'NCLB Title II-A Formula'!G61</f>
        <v>2973</v>
      </c>
      <c r="G52" s="210">
        <f>'NCLB Title III-A '!G61</f>
        <v>0</v>
      </c>
      <c r="H52" s="210">
        <v>0</v>
      </c>
      <c r="I52" s="211">
        <v>0</v>
      </c>
      <c r="J52" s="207"/>
    </row>
    <row r="53" spans="1:10" ht="18.75" x14ac:dyDescent="0.3">
      <c r="A53" s="212" t="s">
        <v>57</v>
      </c>
      <c r="B53" s="213" t="s">
        <v>235</v>
      </c>
      <c r="C53" s="210">
        <f>'NCLB Title I-A Formula'!G62</f>
        <v>0</v>
      </c>
      <c r="D53" s="210">
        <v>0</v>
      </c>
      <c r="E53" s="210">
        <v>0</v>
      </c>
      <c r="F53" s="210">
        <f>'NCLB Title II-A Formula'!G62</f>
        <v>0</v>
      </c>
      <c r="G53" s="210">
        <f>'NCLB Title III-A '!G62</f>
        <v>0</v>
      </c>
      <c r="H53" s="210">
        <f>'NCLB Title III SAI'!$G$62</f>
        <v>0</v>
      </c>
      <c r="I53" s="211">
        <v>0</v>
      </c>
      <c r="J53" s="207"/>
    </row>
    <row r="54" spans="1:10" ht="18.75" x14ac:dyDescent="0.3">
      <c r="A54" s="212" t="s">
        <v>58</v>
      </c>
      <c r="B54" s="213" t="s">
        <v>236</v>
      </c>
      <c r="C54" s="210">
        <f>'NCLB Title I-A Formula'!G63</f>
        <v>0</v>
      </c>
      <c r="D54" s="210">
        <v>0</v>
      </c>
      <c r="E54" s="210">
        <v>0</v>
      </c>
      <c r="F54" s="210">
        <f>'NCLB Title II-A Formula'!G63</f>
        <v>0</v>
      </c>
      <c r="G54" s="210">
        <f>'NCLB Title III-A '!G63</f>
        <v>10600</v>
      </c>
      <c r="H54" s="210">
        <f>'NCLB Title III SAI'!$G$63</f>
        <v>0</v>
      </c>
      <c r="I54" s="211">
        <v>0</v>
      </c>
      <c r="J54" s="207"/>
    </row>
    <row r="55" spans="1:10" ht="18.75" x14ac:dyDescent="0.3">
      <c r="A55" s="212" t="s">
        <v>59</v>
      </c>
      <c r="B55" s="213" t="s">
        <v>237</v>
      </c>
      <c r="C55" s="210">
        <f>'NCLB Title I-A Formula'!G64</f>
        <v>0</v>
      </c>
      <c r="D55" s="210">
        <v>0</v>
      </c>
      <c r="E55" s="210">
        <v>0</v>
      </c>
      <c r="F55" s="210">
        <f>'NCLB Title II-A Formula'!G64</f>
        <v>0</v>
      </c>
      <c r="G55" s="210">
        <f>'NCLB Title III-A '!G64</f>
        <v>0</v>
      </c>
      <c r="H55" s="210">
        <v>0</v>
      </c>
      <c r="I55" s="211">
        <v>0</v>
      </c>
      <c r="J55" s="207"/>
    </row>
    <row r="56" spans="1:10" ht="18.75" x14ac:dyDescent="0.3">
      <c r="A56" s="212" t="s">
        <v>60</v>
      </c>
      <c r="B56" s="213" t="s">
        <v>238</v>
      </c>
      <c r="C56" s="210">
        <f>'NCLB Title I-A Formula'!G65</f>
        <v>0</v>
      </c>
      <c r="D56" s="210">
        <v>0</v>
      </c>
      <c r="E56" s="210">
        <f>'NCLB Title I-Delinquent'!E63</f>
        <v>0</v>
      </c>
      <c r="F56" s="210">
        <f>'NCLB Title II-A Formula'!G65</f>
        <v>0</v>
      </c>
      <c r="G56" s="210">
        <f>'NCLB Title III-A '!G65</f>
        <v>0</v>
      </c>
      <c r="H56" s="210">
        <f>'NCLB Title III SAI'!$G$65</f>
        <v>59574</v>
      </c>
      <c r="I56" s="211">
        <v>0</v>
      </c>
      <c r="J56" s="207"/>
    </row>
    <row r="57" spans="1:10" ht="18.75" x14ac:dyDescent="0.3">
      <c r="A57" s="212" t="s">
        <v>61</v>
      </c>
      <c r="B57" s="213" t="s">
        <v>239</v>
      </c>
      <c r="C57" s="210">
        <f>'NCLB Title I-A Formula'!G66</f>
        <v>0</v>
      </c>
      <c r="D57" s="210">
        <v>0</v>
      </c>
      <c r="E57" s="210">
        <v>0</v>
      </c>
      <c r="F57" s="210">
        <f>'NCLB Title II-A Formula'!G66</f>
        <v>0</v>
      </c>
      <c r="G57" s="210">
        <f>'NCLB Title III-A '!G66</f>
        <v>0</v>
      </c>
      <c r="H57" s="210">
        <f>'NCLB Title III SAI'!$G$66</f>
        <v>0</v>
      </c>
      <c r="I57" s="211">
        <v>0</v>
      </c>
      <c r="J57" s="207"/>
    </row>
    <row r="58" spans="1:10" ht="18.75" x14ac:dyDescent="0.3">
      <c r="A58" s="212" t="s">
        <v>62</v>
      </c>
      <c r="B58" s="213" t="s">
        <v>240</v>
      </c>
      <c r="C58" s="210">
        <f>'NCLB Title I-A Formula'!G67</f>
        <v>0</v>
      </c>
      <c r="D58" s="210">
        <v>0</v>
      </c>
      <c r="E58" s="210">
        <v>0</v>
      </c>
      <c r="F58" s="210">
        <f>'NCLB Title II-A Formula'!G67</f>
        <v>0</v>
      </c>
      <c r="G58" s="210">
        <f>'NCLB Title III-A '!G67</f>
        <v>0</v>
      </c>
      <c r="H58" s="210">
        <f>'NCLB Title III SAI'!$G$67</f>
        <v>0</v>
      </c>
      <c r="I58" s="211">
        <v>0</v>
      </c>
      <c r="J58" s="207"/>
    </row>
    <row r="59" spans="1:10" ht="18.75" x14ac:dyDescent="0.3">
      <c r="A59" s="212" t="s">
        <v>63</v>
      </c>
      <c r="B59" s="213" t="s">
        <v>241</v>
      </c>
      <c r="C59" s="210">
        <f>'NCLB Title I-A Formula'!G68</f>
        <v>0</v>
      </c>
      <c r="D59" s="210">
        <v>0</v>
      </c>
      <c r="E59" s="210">
        <v>0</v>
      </c>
      <c r="F59" s="210">
        <f>'NCLB Title II-A Formula'!G68</f>
        <v>0</v>
      </c>
      <c r="G59" s="210">
        <f>'NCLB Title III-A '!G68</f>
        <v>0</v>
      </c>
      <c r="H59" s="210">
        <v>0</v>
      </c>
      <c r="I59" s="211">
        <v>0</v>
      </c>
      <c r="J59" s="207"/>
    </row>
    <row r="60" spans="1:10" ht="18.75" x14ac:dyDescent="0.3">
      <c r="A60" s="212" t="s">
        <v>64</v>
      </c>
      <c r="B60" s="213" t="s">
        <v>242</v>
      </c>
      <c r="C60" s="210">
        <f>'NCLB Title I-A Formula'!G69</f>
        <v>0</v>
      </c>
      <c r="D60" s="210">
        <v>0</v>
      </c>
      <c r="E60" s="210">
        <v>0</v>
      </c>
      <c r="F60" s="210">
        <f>'NCLB Title II-A Formula'!G69</f>
        <v>0</v>
      </c>
      <c r="G60" s="210">
        <f>'NCLB Title III-A '!G69</f>
        <v>0</v>
      </c>
      <c r="H60" s="210">
        <v>0</v>
      </c>
      <c r="I60" s="211">
        <v>0</v>
      </c>
      <c r="J60" s="207"/>
    </row>
    <row r="61" spans="1:10" ht="18.75" x14ac:dyDescent="0.3">
      <c r="A61" s="212" t="s">
        <v>65</v>
      </c>
      <c r="B61" s="213" t="s">
        <v>243</v>
      </c>
      <c r="C61" s="210">
        <f>'NCLB Title I-A Formula'!G70</f>
        <v>0</v>
      </c>
      <c r="D61" s="210">
        <v>0</v>
      </c>
      <c r="E61" s="210">
        <v>0</v>
      </c>
      <c r="F61" s="210">
        <f>'NCLB Title II-A Formula'!G70</f>
        <v>0</v>
      </c>
      <c r="G61" s="210">
        <f>'NCLB Title III-A '!G70</f>
        <v>0</v>
      </c>
      <c r="H61" s="210">
        <v>0</v>
      </c>
      <c r="I61" s="211">
        <v>0</v>
      </c>
      <c r="J61" s="207"/>
    </row>
    <row r="62" spans="1:10" ht="18.75" x14ac:dyDescent="0.3">
      <c r="A62" s="212" t="s">
        <v>66</v>
      </c>
      <c r="B62" s="213" t="s">
        <v>244</v>
      </c>
      <c r="C62" s="210">
        <f>'NCLB Title I-A Formula'!G71</f>
        <v>0</v>
      </c>
      <c r="D62" s="210">
        <v>0</v>
      </c>
      <c r="E62" s="210">
        <v>0</v>
      </c>
      <c r="F62" s="210">
        <f>'NCLB Title II-A Formula'!G71</f>
        <v>0</v>
      </c>
      <c r="G62" s="210">
        <f>'NCLB Title III-A '!G71</f>
        <v>0</v>
      </c>
      <c r="H62" s="210">
        <v>0</v>
      </c>
      <c r="I62" s="211">
        <v>0</v>
      </c>
      <c r="J62" s="207"/>
    </row>
    <row r="63" spans="1:10" ht="18.75" x14ac:dyDescent="0.3">
      <c r="A63" s="212" t="s">
        <v>67</v>
      </c>
      <c r="B63" s="213" t="s">
        <v>245</v>
      </c>
      <c r="C63" s="210">
        <f>'NCLB Title I-A Formula'!G72</f>
        <v>0</v>
      </c>
      <c r="D63" s="210">
        <v>0</v>
      </c>
      <c r="E63" s="210">
        <v>0</v>
      </c>
      <c r="F63" s="210">
        <f>'NCLB Title II-A Formula'!G72</f>
        <v>0</v>
      </c>
      <c r="G63" s="210">
        <f>'NCLB Title III-A '!G72</f>
        <v>0</v>
      </c>
      <c r="H63" s="210">
        <f>'NCLB Title III SAI'!$G$72</f>
        <v>0</v>
      </c>
      <c r="I63" s="211">
        <v>0</v>
      </c>
      <c r="J63" s="207"/>
    </row>
    <row r="64" spans="1:10" ht="18.75" x14ac:dyDescent="0.3">
      <c r="A64" s="212" t="s">
        <v>68</v>
      </c>
      <c r="B64" s="213" t="s">
        <v>246</v>
      </c>
      <c r="C64" s="210">
        <f>'NCLB Title I-A Formula'!G73</f>
        <v>0</v>
      </c>
      <c r="D64" s="210">
        <v>0</v>
      </c>
      <c r="E64" s="210">
        <v>0</v>
      </c>
      <c r="F64" s="210">
        <f>'NCLB Title II-A Formula'!G73</f>
        <v>0</v>
      </c>
      <c r="G64" s="210">
        <f>'NCLB Title III-A '!G73</f>
        <v>0</v>
      </c>
      <c r="H64" s="210">
        <f>'NCLB Title III SAI'!$G$73</f>
        <v>1867</v>
      </c>
      <c r="I64" s="211">
        <v>0</v>
      </c>
      <c r="J64" s="207"/>
    </row>
    <row r="65" spans="1:10" ht="18.75" x14ac:dyDescent="0.3">
      <c r="A65" s="212" t="s">
        <v>69</v>
      </c>
      <c r="B65" s="213" t="s">
        <v>247</v>
      </c>
      <c r="C65" s="210">
        <f>'NCLB Title I-A Formula'!G74</f>
        <v>0</v>
      </c>
      <c r="D65" s="210">
        <v>0</v>
      </c>
      <c r="E65" s="210">
        <v>0</v>
      </c>
      <c r="F65" s="210">
        <f>'NCLB Title II-A Formula'!G74</f>
        <v>0</v>
      </c>
      <c r="G65" s="210">
        <f>'NCLB Title III-A '!G74</f>
        <v>0</v>
      </c>
      <c r="H65" s="210">
        <v>0</v>
      </c>
      <c r="I65" s="211">
        <v>0</v>
      </c>
      <c r="J65" s="207"/>
    </row>
    <row r="66" spans="1:10" ht="18.75" x14ac:dyDescent="0.3">
      <c r="A66" s="212" t="s">
        <v>70</v>
      </c>
      <c r="B66" s="213" t="s">
        <v>248</v>
      </c>
      <c r="C66" s="210">
        <f>'NCLB Title I-A Formula'!G75</f>
        <v>0</v>
      </c>
      <c r="D66" s="210">
        <v>0</v>
      </c>
      <c r="E66" s="210">
        <v>0</v>
      </c>
      <c r="F66" s="210">
        <f>'NCLB Title II-A Formula'!G75</f>
        <v>0</v>
      </c>
      <c r="G66" s="210">
        <f>'NCLB Title III-A '!G75</f>
        <v>0</v>
      </c>
      <c r="H66" s="210">
        <f>'NCLB Title III SAI'!G75</f>
        <v>0</v>
      </c>
      <c r="I66" s="211">
        <v>0</v>
      </c>
      <c r="J66" s="207"/>
    </row>
    <row r="67" spans="1:10" ht="18.75" x14ac:dyDescent="0.3">
      <c r="A67" s="212" t="s">
        <v>71</v>
      </c>
      <c r="B67" s="213" t="s">
        <v>249</v>
      </c>
      <c r="C67" s="210">
        <f>'NCLB Title I-A Formula'!G76</f>
        <v>0</v>
      </c>
      <c r="D67" s="210">
        <v>0</v>
      </c>
      <c r="E67" s="210">
        <f>'NCLB Title I-Delinquent'!E74</f>
        <v>0</v>
      </c>
      <c r="F67" s="210">
        <f>'NCLB Title II-A Formula'!G76</f>
        <v>0</v>
      </c>
      <c r="G67" s="210">
        <v>0</v>
      </c>
      <c r="H67" s="210">
        <v>0</v>
      </c>
      <c r="I67" s="211">
        <f>'TITLE VI RURAL LI'!$E$76</f>
        <v>0</v>
      </c>
      <c r="J67" s="207"/>
    </row>
    <row r="68" spans="1:10" ht="18.75" x14ac:dyDescent="0.3">
      <c r="A68" s="212" t="s">
        <v>72</v>
      </c>
      <c r="B68" s="213" t="s">
        <v>250</v>
      </c>
      <c r="C68" s="210">
        <f>'NCLB Title I-A Formula'!G77</f>
        <v>0</v>
      </c>
      <c r="D68" s="210">
        <v>0</v>
      </c>
      <c r="E68" s="210">
        <v>0</v>
      </c>
      <c r="F68" s="210">
        <f>'NCLB Title II-A Formula'!G77</f>
        <v>0</v>
      </c>
      <c r="G68" s="210">
        <v>0</v>
      </c>
      <c r="H68" s="210">
        <v>0</v>
      </c>
      <c r="I68" s="211">
        <f>'TITLE VI RURAL LI'!$E$77</f>
        <v>0</v>
      </c>
      <c r="J68" s="207"/>
    </row>
    <row r="69" spans="1:10" ht="18.75" x14ac:dyDescent="0.3">
      <c r="A69" s="212" t="s">
        <v>73</v>
      </c>
      <c r="B69" s="213" t="s">
        <v>251</v>
      </c>
      <c r="C69" s="210">
        <f>'NCLB Title I-A Formula'!G78</f>
        <v>0</v>
      </c>
      <c r="D69" s="210">
        <v>0</v>
      </c>
      <c r="E69" s="210">
        <v>0</v>
      </c>
      <c r="F69" s="210">
        <f>'NCLB Title II-A Formula'!G78</f>
        <v>0</v>
      </c>
      <c r="G69" s="210">
        <f>'NCLB Title III-A '!G78</f>
        <v>0</v>
      </c>
      <c r="H69" s="210">
        <v>0</v>
      </c>
      <c r="I69" s="211">
        <v>0</v>
      </c>
      <c r="J69" s="207"/>
    </row>
    <row r="70" spans="1:10" ht="18.75" x14ac:dyDescent="0.3">
      <c r="A70" s="212" t="s">
        <v>74</v>
      </c>
      <c r="B70" s="213" t="s">
        <v>252</v>
      </c>
      <c r="C70" s="210">
        <f>'NCLB Title I-A Formula'!G79</f>
        <v>0</v>
      </c>
      <c r="D70" s="210">
        <v>0</v>
      </c>
      <c r="E70" s="210">
        <v>0</v>
      </c>
      <c r="F70" s="210">
        <f>'NCLB Title II-A Formula'!G79</f>
        <v>0</v>
      </c>
      <c r="G70" s="210">
        <f>'NCLB Title III-A '!G79</f>
        <v>0</v>
      </c>
      <c r="H70" s="210">
        <v>0</v>
      </c>
      <c r="I70" s="211">
        <v>0</v>
      </c>
      <c r="J70" s="207"/>
    </row>
    <row r="71" spans="1:10" ht="18.75" x14ac:dyDescent="0.3">
      <c r="A71" s="212" t="s">
        <v>75</v>
      </c>
      <c r="B71" s="213" t="s">
        <v>253</v>
      </c>
      <c r="C71" s="210">
        <f>'NCLB Title I-A Formula'!G80</f>
        <v>0</v>
      </c>
      <c r="D71" s="210">
        <v>0</v>
      </c>
      <c r="E71" s="210">
        <v>0</v>
      </c>
      <c r="F71" s="210">
        <f>'NCLB Title II-A Formula'!G80</f>
        <v>0</v>
      </c>
      <c r="G71" s="210">
        <f>'NCLB Title III-A '!G80</f>
        <v>0</v>
      </c>
      <c r="H71" s="210">
        <v>0</v>
      </c>
      <c r="I71" s="211">
        <v>0</v>
      </c>
      <c r="J71" s="207"/>
    </row>
    <row r="72" spans="1:10" ht="18.75" x14ac:dyDescent="0.3">
      <c r="A72" s="212" t="s">
        <v>76</v>
      </c>
      <c r="B72" s="213" t="s">
        <v>254</v>
      </c>
      <c r="C72" s="210">
        <f>'NCLB Title I-A Formula'!G81</f>
        <v>0</v>
      </c>
      <c r="D72" s="210">
        <v>0</v>
      </c>
      <c r="E72" s="210">
        <v>0</v>
      </c>
      <c r="F72" s="210">
        <f>'NCLB Title II-A Formula'!G81</f>
        <v>0</v>
      </c>
      <c r="G72" s="210">
        <f>'NCLB Title III-A '!G81</f>
        <v>0</v>
      </c>
      <c r="H72" s="210">
        <v>0</v>
      </c>
      <c r="I72" s="211">
        <v>0</v>
      </c>
      <c r="J72" s="207"/>
    </row>
    <row r="73" spans="1:10" ht="18.75" x14ac:dyDescent="0.3">
      <c r="A73" s="212" t="s">
        <v>77</v>
      </c>
      <c r="B73" s="213" t="s">
        <v>255</v>
      </c>
      <c r="C73" s="210">
        <f>'NCLB Title I-A Formula'!G82</f>
        <v>0</v>
      </c>
      <c r="D73" s="210">
        <v>0</v>
      </c>
      <c r="E73" s="210">
        <v>0</v>
      </c>
      <c r="F73" s="210">
        <f>'NCLB Title II-A Formula'!G82</f>
        <v>0</v>
      </c>
      <c r="G73" s="210">
        <f>'NCLB Title III-A '!G82</f>
        <v>0</v>
      </c>
      <c r="H73" s="210">
        <v>0</v>
      </c>
      <c r="I73" s="211">
        <v>0</v>
      </c>
      <c r="J73" s="207"/>
    </row>
    <row r="74" spans="1:10" ht="18.75" x14ac:dyDescent="0.3">
      <c r="A74" s="212" t="s">
        <v>78</v>
      </c>
      <c r="B74" s="213" t="s">
        <v>256</v>
      </c>
      <c r="C74" s="210">
        <f>'NCLB Title I-A Formula'!G83</f>
        <v>0</v>
      </c>
      <c r="D74" s="210">
        <v>0</v>
      </c>
      <c r="E74" s="210">
        <v>0</v>
      </c>
      <c r="F74" s="210">
        <f>'NCLB Title II-A Formula'!G83</f>
        <v>0</v>
      </c>
      <c r="G74" s="210">
        <f>'NCLB Title III-A '!G83</f>
        <v>0</v>
      </c>
      <c r="H74" s="210">
        <v>0</v>
      </c>
      <c r="I74" s="211">
        <v>0</v>
      </c>
      <c r="J74" s="207"/>
    </row>
    <row r="75" spans="1:10" ht="18.75" x14ac:dyDescent="0.3">
      <c r="A75" s="212" t="s">
        <v>79</v>
      </c>
      <c r="B75" s="213" t="s">
        <v>257</v>
      </c>
      <c r="C75" s="210">
        <f>'NCLB Title I-A Formula'!G84</f>
        <v>0</v>
      </c>
      <c r="D75" s="210">
        <v>0</v>
      </c>
      <c r="E75" s="210">
        <v>0</v>
      </c>
      <c r="F75" s="210">
        <f>'NCLB Title II-A Formula'!G84</f>
        <v>0</v>
      </c>
      <c r="G75" s="210">
        <f>'NCLB Title III-A '!G84</f>
        <v>0</v>
      </c>
      <c r="H75" s="210">
        <v>0</v>
      </c>
      <c r="I75" s="211">
        <v>0</v>
      </c>
      <c r="J75" s="207"/>
    </row>
    <row r="76" spans="1:10" ht="18.75" x14ac:dyDescent="0.3">
      <c r="A76" s="212" t="s">
        <v>80</v>
      </c>
      <c r="B76" s="213" t="s">
        <v>258</v>
      </c>
      <c r="C76" s="210">
        <f>'NCLB Title I-A Formula'!G85</f>
        <v>0</v>
      </c>
      <c r="D76" s="210">
        <v>0</v>
      </c>
      <c r="E76" s="210">
        <v>0</v>
      </c>
      <c r="F76" s="210">
        <f>'NCLB Title II-A Formula'!G85</f>
        <v>0</v>
      </c>
      <c r="G76" s="210">
        <f>'NCLB Title III-A '!G85</f>
        <v>0</v>
      </c>
      <c r="H76" s="210">
        <f>'NCLB Title III SAI'!$G$85</f>
        <v>0</v>
      </c>
      <c r="I76" s="211">
        <v>0</v>
      </c>
      <c r="J76" s="207"/>
    </row>
    <row r="77" spans="1:10" ht="18.75" x14ac:dyDescent="0.3">
      <c r="A77" s="212" t="s">
        <v>81</v>
      </c>
      <c r="B77" s="213" t="s">
        <v>259</v>
      </c>
      <c r="C77" s="210">
        <f>'NCLB Title I-A Formula'!G86</f>
        <v>0</v>
      </c>
      <c r="D77" s="210">
        <v>0</v>
      </c>
      <c r="E77" s="210">
        <v>0</v>
      </c>
      <c r="F77" s="210">
        <f>'NCLB Title II-A Formula'!G86</f>
        <v>0</v>
      </c>
      <c r="G77" s="210">
        <f>'NCLB Title III-A '!G86</f>
        <v>0</v>
      </c>
      <c r="H77" s="210">
        <v>0</v>
      </c>
      <c r="I77" s="211">
        <v>0</v>
      </c>
      <c r="J77" s="207"/>
    </row>
    <row r="78" spans="1:10" ht="18.75" x14ac:dyDescent="0.3">
      <c r="A78" s="212" t="s">
        <v>82</v>
      </c>
      <c r="B78" s="213" t="s">
        <v>260</v>
      </c>
      <c r="C78" s="210">
        <f>'NCLB Title I-A Formula'!G87</f>
        <v>0</v>
      </c>
      <c r="D78" s="210">
        <v>0</v>
      </c>
      <c r="E78" s="210">
        <v>0</v>
      </c>
      <c r="F78" s="210">
        <f>'NCLB Title II-A Formula'!G87</f>
        <v>0</v>
      </c>
      <c r="G78" s="210">
        <f>'NCLB Title III-A '!G87</f>
        <v>0</v>
      </c>
      <c r="H78" s="210">
        <v>0</v>
      </c>
      <c r="I78" s="211">
        <f>'TITLE VI RURAL LI'!$E$89</f>
        <v>0</v>
      </c>
      <c r="J78" s="207"/>
    </row>
    <row r="79" spans="1:10" ht="18.75" x14ac:dyDescent="0.3">
      <c r="A79" s="212" t="s">
        <v>83</v>
      </c>
      <c r="B79" s="213" t="s">
        <v>261</v>
      </c>
      <c r="C79" s="210">
        <f>'NCLB Title I-A Formula'!G88</f>
        <v>0</v>
      </c>
      <c r="D79" s="210">
        <v>0</v>
      </c>
      <c r="E79" s="210">
        <v>0</v>
      </c>
      <c r="F79" s="210">
        <f>'NCLB Title II-A Formula'!G88</f>
        <v>0</v>
      </c>
      <c r="G79" s="210">
        <f>'NCLB Title III-A '!G88</f>
        <v>0</v>
      </c>
      <c r="H79" s="210">
        <v>0</v>
      </c>
      <c r="I79" s="211">
        <v>0</v>
      </c>
      <c r="J79" s="207"/>
    </row>
    <row r="80" spans="1:10" ht="18.75" x14ac:dyDescent="0.3">
      <c r="A80" s="212" t="s">
        <v>84</v>
      </c>
      <c r="B80" s="213" t="s">
        <v>262</v>
      </c>
      <c r="C80" s="210">
        <f>'NCLB Title I-A Formula'!G89</f>
        <v>0</v>
      </c>
      <c r="D80" s="210">
        <v>0</v>
      </c>
      <c r="E80" s="210">
        <v>0</v>
      </c>
      <c r="F80" s="210">
        <f>'NCLB Title II-A Formula'!G89</f>
        <v>0</v>
      </c>
      <c r="G80" s="210">
        <v>0</v>
      </c>
      <c r="H80" s="210">
        <v>0</v>
      </c>
      <c r="I80" s="211">
        <v>0</v>
      </c>
      <c r="J80" s="207"/>
    </row>
    <row r="81" spans="1:10" ht="18.75" x14ac:dyDescent="0.3">
      <c r="A81" s="212" t="s">
        <v>85</v>
      </c>
      <c r="B81" s="213" t="s">
        <v>263</v>
      </c>
      <c r="C81" s="210">
        <f>'NCLB Title I-A Formula'!G90</f>
        <v>0</v>
      </c>
      <c r="D81" s="210"/>
      <c r="E81" s="210">
        <v>0</v>
      </c>
      <c r="F81" s="210">
        <f>'NCLB Title II-A Formula'!G90</f>
        <v>0</v>
      </c>
      <c r="G81" s="210">
        <f>'NCLB Title III-A '!G90</f>
        <v>0</v>
      </c>
      <c r="H81" s="210">
        <v>0</v>
      </c>
      <c r="I81" s="211">
        <v>0</v>
      </c>
      <c r="J81" s="207"/>
    </row>
    <row r="82" spans="1:10" ht="18.75" x14ac:dyDescent="0.3">
      <c r="A82" s="212" t="s">
        <v>86</v>
      </c>
      <c r="B82" s="213" t="s">
        <v>264</v>
      </c>
      <c r="C82" s="210">
        <f>'NCLB Title I-A Formula'!G91</f>
        <v>0</v>
      </c>
      <c r="D82" s="210">
        <v>0</v>
      </c>
      <c r="E82" s="210">
        <v>0</v>
      </c>
      <c r="F82" s="210">
        <f>'NCLB Title II-A Formula'!G91</f>
        <v>0</v>
      </c>
      <c r="G82" s="210">
        <v>0</v>
      </c>
      <c r="H82" s="210">
        <f>'NCLB Title III SAI'!G91</f>
        <v>0</v>
      </c>
      <c r="I82" s="211">
        <v>0</v>
      </c>
      <c r="J82" s="207"/>
    </row>
    <row r="83" spans="1:10" ht="18.75" x14ac:dyDescent="0.3">
      <c r="A83" s="212" t="s">
        <v>87</v>
      </c>
      <c r="B83" s="213" t="s">
        <v>265</v>
      </c>
      <c r="C83" s="210">
        <f>'NCLB Title I-A Formula'!G92</f>
        <v>0</v>
      </c>
      <c r="D83" s="210">
        <v>0</v>
      </c>
      <c r="E83" s="210">
        <v>0</v>
      </c>
      <c r="F83" s="210">
        <f>'NCLB Title II-A Formula'!G92</f>
        <v>0</v>
      </c>
      <c r="G83" s="210">
        <f>'NCLB Title III-A '!G92</f>
        <v>0</v>
      </c>
      <c r="H83" s="210">
        <v>0</v>
      </c>
      <c r="I83" s="211">
        <v>0</v>
      </c>
      <c r="J83" s="207"/>
    </row>
    <row r="84" spans="1:10" ht="18.75" x14ac:dyDescent="0.3">
      <c r="A84" s="212" t="s">
        <v>88</v>
      </c>
      <c r="B84" s="213" t="s">
        <v>266</v>
      </c>
      <c r="C84" s="210">
        <f>'NCLB Title I-A Formula'!G93</f>
        <v>0</v>
      </c>
      <c r="D84" s="210">
        <v>0</v>
      </c>
      <c r="E84" s="210">
        <v>0</v>
      </c>
      <c r="F84" s="210">
        <f>'NCLB Title II-A Formula'!G93</f>
        <v>0</v>
      </c>
      <c r="G84" s="210">
        <f>'NCLB Title III-A '!G93</f>
        <v>0</v>
      </c>
      <c r="H84" s="210">
        <v>0</v>
      </c>
      <c r="I84" s="211">
        <v>0</v>
      </c>
      <c r="J84" s="207"/>
    </row>
    <row r="85" spans="1:10" ht="18.75" x14ac:dyDescent="0.3">
      <c r="A85" s="212" t="s">
        <v>89</v>
      </c>
      <c r="B85" s="213" t="s">
        <v>267</v>
      </c>
      <c r="C85" s="210">
        <f>'NCLB Title I-A Formula'!G94</f>
        <v>0</v>
      </c>
      <c r="D85" s="210">
        <v>0</v>
      </c>
      <c r="E85" s="210">
        <v>0</v>
      </c>
      <c r="F85" s="210">
        <f>'NCLB Title II-A Formula'!G94</f>
        <v>0</v>
      </c>
      <c r="G85" s="210">
        <f>'NCLB Title III-A '!G94</f>
        <v>0</v>
      </c>
      <c r="H85" s="210">
        <v>0</v>
      </c>
      <c r="I85" s="211">
        <v>0</v>
      </c>
      <c r="J85" s="207"/>
    </row>
    <row r="86" spans="1:10" ht="18.75" x14ac:dyDescent="0.3">
      <c r="A86" s="212" t="s">
        <v>90</v>
      </c>
      <c r="B86" s="213" t="s">
        <v>268</v>
      </c>
      <c r="C86" s="210">
        <f>'NCLB Title I-A Formula'!G95</f>
        <v>0</v>
      </c>
      <c r="D86" s="210">
        <v>0</v>
      </c>
      <c r="E86" s="210">
        <v>0</v>
      </c>
      <c r="F86" s="210">
        <f>'NCLB Title II-A Formula'!G95</f>
        <v>0</v>
      </c>
      <c r="G86" s="210">
        <v>0</v>
      </c>
      <c r="H86" s="210">
        <v>0</v>
      </c>
      <c r="I86" s="211">
        <v>0</v>
      </c>
      <c r="J86" s="207"/>
    </row>
    <row r="87" spans="1:10" ht="18.75" x14ac:dyDescent="0.3">
      <c r="A87" s="212" t="s">
        <v>91</v>
      </c>
      <c r="B87" s="213" t="s">
        <v>269</v>
      </c>
      <c r="C87" s="210">
        <f>'NCLB Title I-A Formula'!G96</f>
        <v>0</v>
      </c>
      <c r="D87" s="210">
        <v>0</v>
      </c>
      <c r="E87" s="210">
        <v>0</v>
      </c>
      <c r="F87" s="210">
        <f>'NCLB Title II-A Formula'!G96</f>
        <v>0</v>
      </c>
      <c r="G87" s="210">
        <f>'NCLB Title III-A '!G96</f>
        <v>0</v>
      </c>
      <c r="H87" s="210">
        <v>0</v>
      </c>
      <c r="I87" s="211">
        <v>0</v>
      </c>
      <c r="J87" s="207"/>
    </row>
    <row r="88" spans="1:10" ht="18.75" x14ac:dyDescent="0.3">
      <c r="A88" s="212" t="s">
        <v>92</v>
      </c>
      <c r="B88" s="213" t="s">
        <v>270</v>
      </c>
      <c r="C88" s="210">
        <f>'NCLB Title I-A Formula'!G97</f>
        <v>0</v>
      </c>
      <c r="D88" s="210">
        <v>0</v>
      </c>
      <c r="E88" s="210">
        <v>0</v>
      </c>
      <c r="F88" s="210">
        <f>'NCLB Title II-A Formula'!G97</f>
        <v>0</v>
      </c>
      <c r="G88" s="210">
        <v>0</v>
      </c>
      <c r="H88" s="210">
        <v>0</v>
      </c>
      <c r="I88" s="211">
        <v>0</v>
      </c>
      <c r="J88" s="207"/>
    </row>
    <row r="89" spans="1:10" ht="18.75" x14ac:dyDescent="0.3">
      <c r="A89" s="212" t="s">
        <v>93</v>
      </c>
      <c r="B89" s="213" t="s">
        <v>271</v>
      </c>
      <c r="C89" s="210">
        <f>'NCLB Title I-A Formula'!G98</f>
        <v>0</v>
      </c>
      <c r="D89" s="210">
        <v>0</v>
      </c>
      <c r="E89" s="210">
        <v>0</v>
      </c>
      <c r="F89" s="210">
        <f>'NCLB Title II-A Formula'!G98</f>
        <v>0</v>
      </c>
      <c r="G89" s="210">
        <f>'NCLB Title III-A '!G98</f>
        <v>0</v>
      </c>
      <c r="H89" s="210">
        <v>0</v>
      </c>
      <c r="I89" s="211">
        <f>'TITLE VI RURAL LI'!$E$100</f>
        <v>0</v>
      </c>
      <c r="J89" s="207"/>
    </row>
    <row r="90" spans="1:10" ht="18.75" x14ac:dyDescent="0.3">
      <c r="A90" s="212" t="s">
        <v>94</v>
      </c>
      <c r="B90" s="213" t="s">
        <v>272</v>
      </c>
      <c r="C90" s="210">
        <f>'NCLB Title I-A Formula'!G99</f>
        <v>0</v>
      </c>
      <c r="D90" s="210">
        <v>0</v>
      </c>
      <c r="E90" s="210">
        <f>'NCLB Title I-Delinquent'!E97</f>
        <v>0</v>
      </c>
      <c r="F90" s="210">
        <f>'NCLB Title II-A Formula'!G99</f>
        <v>0</v>
      </c>
      <c r="G90" s="210">
        <f>'NCLB Title III-A '!G99</f>
        <v>0</v>
      </c>
      <c r="H90" s="210">
        <v>0</v>
      </c>
      <c r="I90" s="211">
        <v>0</v>
      </c>
      <c r="J90" s="207"/>
    </row>
    <row r="91" spans="1:10" ht="18.75" x14ac:dyDescent="0.3">
      <c r="A91" s="212" t="s">
        <v>95</v>
      </c>
      <c r="B91" s="213" t="s">
        <v>273</v>
      </c>
      <c r="C91" s="210">
        <f>'NCLB Title I-A Formula'!G100</f>
        <v>0</v>
      </c>
      <c r="D91" s="210">
        <v>0</v>
      </c>
      <c r="E91" s="210">
        <v>0</v>
      </c>
      <c r="F91" s="210">
        <f>'NCLB Title II-A Formula'!G100</f>
        <v>0</v>
      </c>
      <c r="G91" s="210">
        <v>0</v>
      </c>
      <c r="H91" s="210">
        <v>0</v>
      </c>
      <c r="I91" s="211">
        <v>0</v>
      </c>
      <c r="J91" s="207"/>
    </row>
    <row r="92" spans="1:10" ht="18.75" x14ac:dyDescent="0.3">
      <c r="A92" s="212" t="s">
        <v>96</v>
      </c>
      <c r="B92" s="213" t="s">
        <v>274</v>
      </c>
      <c r="C92" s="210">
        <f>'NCLB Title I-A Formula'!G101</f>
        <v>0</v>
      </c>
      <c r="D92" s="210">
        <v>0</v>
      </c>
      <c r="E92" s="210">
        <v>0</v>
      </c>
      <c r="F92" s="210">
        <f>'NCLB Title II-A Formula'!G101</f>
        <v>0</v>
      </c>
      <c r="G92" s="210">
        <v>0</v>
      </c>
      <c r="H92" s="210">
        <v>0</v>
      </c>
      <c r="I92" s="211">
        <v>0</v>
      </c>
      <c r="J92" s="207"/>
    </row>
    <row r="93" spans="1:10" ht="18.75" x14ac:dyDescent="0.3">
      <c r="A93" s="212" t="s">
        <v>97</v>
      </c>
      <c r="B93" s="213" t="s">
        <v>275</v>
      </c>
      <c r="C93" s="210">
        <f>'NCLB Title I-A Formula'!G102</f>
        <v>0</v>
      </c>
      <c r="D93" s="210">
        <v>0</v>
      </c>
      <c r="E93" s="210">
        <f>'NCLB Title I-Delinquent'!E100</f>
        <v>0</v>
      </c>
      <c r="F93" s="210">
        <f>'NCLB Title II-A Formula'!G102</f>
        <v>0</v>
      </c>
      <c r="G93" s="210">
        <f>'NCLB Title III-A '!G102</f>
        <v>0</v>
      </c>
      <c r="H93" s="210">
        <f>'NCLB Title III SAI'!$G$102</f>
        <v>0</v>
      </c>
      <c r="I93" s="211">
        <v>0</v>
      </c>
      <c r="J93" s="207"/>
    </row>
    <row r="94" spans="1:10" ht="18.75" x14ac:dyDescent="0.3">
      <c r="A94" s="212" t="s">
        <v>98</v>
      </c>
      <c r="B94" s="213" t="s">
        <v>276</v>
      </c>
      <c r="C94" s="210">
        <f>'NCLB Title I-A Formula'!G103</f>
        <v>0</v>
      </c>
      <c r="D94" s="210">
        <v>0</v>
      </c>
      <c r="E94" s="210">
        <v>0</v>
      </c>
      <c r="F94" s="210">
        <f>'NCLB Title II-A Formula'!G103</f>
        <v>0</v>
      </c>
      <c r="G94" s="210">
        <f>'NCLB Title III-A '!G103</f>
        <v>0</v>
      </c>
      <c r="H94" s="210">
        <v>0</v>
      </c>
      <c r="I94" s="211">
        <v>0</v>
      </c>
      <c r="J94" s="207"/>
    </row>
    <row r="95" spans="1:10" ht="18.75" x14ac:dyDescent="0.3">
      <c r="A95" s="212" t="s">
        <v>99</v>
      </c>
      <c r="B95" s="213" t="s">
        <v>277</v>
      </c>
      <c r="C95" s="210">
        <f>'NCLB Title I-A Formula'!G104</f>
        <v>0</v>
      </c>
      <c r="D95" s="210">
        <v>0</v>
      </c>
      <c r="E95" s="210">
        <v>0</v>
      </c>
      <c r="F95" s="210">
        <f>'NCLB Title II-A Formula'!G104</f>
        <v>0</v>
      </c>
      <c r="G95" s="210">
        <f>'NCLB Title III-A '!G104</f>
        <v>0</v>
      </c>
      <c r="H95" s="210">
        <v>0</v>
      </c>
      <c r="I95" s="211">
        <v>0</v>
      </c>
      <c r="J95" s="207"/>
    </row>
    <row r="96" spans="1:10" ht="18.75" x14ac:dyDescent="0.3">
      <c r="A96" s="212" t="s">
        <v>100</v>
      </c>
      <c r="B96" s="213" t="s">
        <v>278</v>
      </c>
      <c r="C96" s="210">
        <f>'NCLB Title I-A Formula'!G105</f>
        <v>0</v>
      </c>
      <c r="D96" s="210">
        <v>0</v>
      </c>
      <c r="E96" s="210">
        <v>0</v>
      </c>
      <c r="F96" s="210">
        <f>'NCLB Title II-A Formula'!G105</f>
        <v>0</v>
      </c>
      <c r="G96" s="210">
        <v>0</v>
      </c>
      <c r="H96" s="210">
        <v>0</v>
      </c>
      <c r="I96" s="211">
        <f>'TITLE VI RURAL LI'!$E$107</f>
        <v>16193</v>
      </c>
      <c r="J96" s="207"/>
    </row>
    <row r="97" spans="1:10" ht="18.75" x14ac:dyDescent="0.3">
      <c r="A97" s="212" t="s">
        <v>101</v>
      </c>
      <c r="B97" s="213" t="s">
        <v>279</v>
      </c>
      <c r="C97" s="210">
        <f>'NCLB Title I-A Formula'!G106</f>
        <v>0</v>
      </c>
      <c r="D97" s="210">
        <v>0</v>
      </c>
      <c r="E97" s="210">
        <v>0</v>
      </c>
      <c r="F97" s="210">
        <f>'NCLB Title II-A Formula'!G106</f>
        <v>0</v>
      </c>
      <c r="G97" s="210">
        <f>'NCLB Title III-A '!G106</f>
        <v>0</v>
      </c>
      <c r="H97" s="210">
        <v>0</v>
      </c>
      <c r="I97" s="211">
        <v>0</v>
      </c>
      <c r="J97" s="207"/>
    </row>
    <row r="98" spans="1:10" ht="18.75" x14ac:dyDescent="0.3">
      <c r="A98" s="212" t="s">
        <v>102</v>
      </c>
      <c r="B98" s="213" t="s">
        <v>280</v>
      </c>
      <c r="C98" s="210">
        <f>'NCLB Title I-A Formula'!G107</f>
        <v>0</v>
      </c>
      <c r="D98" s="210">
        <v>0</v>
      </c>
      <c r="E98" s="210">
        <v>0</v>
      </c>
      <c r="F98" s="210">
        <f>'NCLB Title II-A Formula'!G107</f>
        <v>0</v>
      </c>
      <c r="G98" s="210">
        <v>0</v>
      </c>
      <c r="H98" s="210">
        <v>0</v>
      </c>
      <c r="I98" s="211">
        <v>0</v>
      </c>
      <c r="J98" s="207"/>
    </row>
    <row r="99" spans="1:10" ht="18.75" x14ac:dyDescent="0.3">
      <c r="A99" s="212" t="s">
        <v>103</v>
      </c>
      <c r="B99" s="213" t="s">
        <v>281</v>
      </c>
      <c r="C99" s="210">
        <f>'NCLB Title I-A Formula'!G108</f>
        <v>0</v>
      </c>
      <c r="D99" s="210">
        <v>0</v>
      </c>
      <c r="E99" s="210">
        <v>0</v>
      </c>
      <c r="F99" s="210">
        <f>'NCLB Title II-A Formula'!G108</f>
        <v>0</v>
      </c>
      <c r="G99" s="210">
        <v>0</v>
      </c>
      <c r="H99" s="210">
        <v>0</v>
      </c>
      <c r="I99" s="211">
        <v>0</v>
      </c>
      <c r="J99" s="207"/>
    </row>
    <row r="100" spans="1:10" ht="18.75" x14ac:dyDescent="0.3">
      <c r="A100" s="212" t="s">
        <v>104</v>
      </c>
      <c r="B100" s="213" t="s">
        <v>282</v>
      </c>
      <c r="C100" s="210">
        <f>'NCLB Title I-A Formula'!G109</f>
        <v>-289</v>
      </c>
      <c r="D100" s="210">
        <v>0</v>
      </c>
      <c r="E100" s="210">
        <v>0</v>
      </c>
      <c r="F100" s="210">
        <f>'NCLB Title II-A Formula'!G109</f>
        <v>465</v>
      </c>
      <c r="G100" s="210">
        <f>'NCLB Title III-A '!G109</f>
        <v>0</v>
      </c>
      <c r="H100" s="210">
        <v>0</v>
      </c>
      <c r="I100" s="211">
        <v>0</v>
      </c>
      <c r="J100" s="207"/>
    </row>
    <row r="101" spans="1:10" ht="18.75" x14ac:dyDescent="0.3">
      <c r="A101" s="212" t="s">
        <v>105</v>
      </c>
      <c r="B101" s="213" t="s">
        <v>283</v>
      </c>
      <c r="C101" s="210">
        <f>'NCLB Title I-A Formula'!G110</f>
        <v>0</v>
      </c>
      <c r="D101" s="210">
        <v>0</v>
      </c>
      <c r="E101" s="210">
        <v>0</v>
      </c>
      <c r="F101" s="210">
        <f>'NCLB Title II-A Formula'!G110</f>
        <v>0</v>
      </c>
      <c r="G101" s="210">
        <f>'NCLB Title III-A '!G110</f>
        <v>0</v>
      </c>
      <c r="H101" s="210">
        <v>0</v>
      </c>
      <c r="I101" s="211">
        <v>0</v>
      </c>
      <c r="J101" s="207"/>
    </row>
    <row r="102" spans="1:10" ht="18.75" x14ac:dyDescent="0.3">
      <c r="A102" s="212" t="s">
        <v>106</v>
      </c>
      <c r="B102" s="213" t="s">
        <v>284</v>
      </c>
      <c r="C102" s="210">
        <f>'NCLB Title I-A Formula'!G111</f>
        <v>0</v>
      </c>
      <c r="D102" s="210">
        <v>0</v>
      </c>
      <c r="E102" s="210">
        <v>0</v>
      </c>
      <c r="F102" s="210">
        <f>'NCLB Title II-A Formula'!G111</f>
        <v>0</v>
      </c>
      <c r="G102" s="210">
        <f>'NCLB Title III-A '!G111</f>
        <v>0</v>
      </c>
      <c r="H102" s="210">
        <v>0</v>
      </c>
      <c r="I102" s="211">
        <v>0</v>
      </c>
      <c r="J102" s="207"/>
    </row>
    <row r="103" spans="1:10" ht="18.75" x14ac:dyDescent="0.3">
      <c r="A103" s="212" t="s">
        <v>107</v>
      </c>
      <c r="B103" s="213" t="s">
        <v>285</v>
      </c>
      <c r="C103" s="210">
        <f>'NCLB Title I-A Formula'!G112</f>
        <v>0</v>
      </c>
      <c r="D103" s="210">
        <v>0</v>
      </c>
      <c r="E103" s="210">
        <v>0</v>
      </c>
      <c r="F103" s="210">
        <f>'NCLB Title II-A Formula'!G112</f>
        <v>0</v>
      </c>
      <c r="G103" s="210">
        <v>0</v>
      </c>
      <c r="H103" s="210">
        <v>0</v>
      </c>
      <c r="I103" s="211">
        <v>0</v>
      </c>
      <c r="J103" s="207"/>
    </row>
    <row r="104" spans="1:10" ht="18.75" x14ac:dyDescent="0.3">
      <c r="A104" s="212" t="s">
        <v>108</v>
      </c>
      <c r="B104" s="213" t="s">
        <v>286</v>
      </c>
      <c r="C104" s="210">
        <f>'NCLB Title I-A Formula'!G113</f>
        <v>0</v>
      </c>
      <c r="D104" s="210">
        <v>0</v>
      </c>
      <c r="E104" s="210">
        <v>0</v>
      </c>
      <c r="F104" s="210">
        <f>'NCLB Title II-A Formula'!G113</f>
        <v>0</v>
      </c>
      <c r="G104" s="210">
        <f>'NCLB Title III-A '!G113</f>
        <v>0</v>
      </c>
      <c r="H104" s="210">
        <v>0</v>
      </c>
      <c r="I104" s="211">
        <v>0</v>
      </c>
      <c r="J104" s="207"/>
    </row>
    <row r="105" spans="1:10" ht="18.75" x14ac:dyDescent="0.3">
      <c r="A105" s="212" t="s">
        <v>109</v>
      </c>
      <c r="B105" s="213" t="s">
        <v>287</v>
      </c>
      <c r="C105" s="210">
        <f>'NCLB Title I-A Formula'!G114</f>
        <v>0</v>
      </c>
      <c r="D105" s="210">
        <v>0</v>
      </c>
      <c r="E105" s="210">
        <v>0</v>
      </c>
      <c r="F105" s="210">
        <f>'NCLB Title II-A Formula'!G114</f>
        <v>0</v>
      </c>
      <c r="G105" s="210">
        <f>'NCLB Title III-A '!G114</f>
        <v>0</v>
      </c>
      <c r="H105" s="210">
        <v>0</v>
      </c>
      <c r="I105" s="211">
        <v>0</v>
      </c>
      <c r="J105" s="207"/>
    </row>
    <row r="106" spans="1:10" ht="18.75" x14ac:dyDescent="0.3">
      <c r="A106" s="212" t="s">
        <v>110</v>
      </c>
      <c r="B106" s="213" t="s">
        <v>288</v>
      </c>
      <c r="C106" s="210">
        <f>'NCLB Title I-A Formula'!G115</f>
        <v>0</v>
      </c>
      <c r="D106" s="210">
        <v>0</v>
      </c>
      <c r="E106" s="210">
        <v>0</v>
      </c>
      <c r="F106" s="210">
        <f>'NCLB Title II-A Formula'!G115</f>
        <v>0</v>
      </c>
      <c r="G106" s="210">
        <f>'NCLB Title III-A '!G115</f>
        <v>0</v>
      </c>
      <c r="H106" s="210">
        <v>0</v>
      </c>
      <c r="I106" s="211">
        <v>0</v>
      </c>
      <c r="J106" s="207"/>
    </row>
    <row r="107" spans="1:10" ht="18.75" x14ac:dyDescent="0.3">
      <c r="A107" s="212" t="s">
        <v>111</v>
      </c>
      <c r="B107" s="213" t="s">
        <v>289</v>
      </c>
      <c r="C107" s="210">
        <f>'NCLB Title I-A Formula'!G116</f>
        <v>0</v>
      </c>
      <c r="D107" s="210">
        <v>0</v>
      </c>
      <c r="E107" s="210">
        <v>0</v>
      </c>
      <c r="F107" s="210">
        <f>'NCLB Title II-A Formula'!G116</f>
        <v>0</v>
      </c>
      <c r="G107" s="210">
        <f>'NCLB Title III-A '!G116</f>
        <v>0</v>
      </c>
      <c r="H107" s="210">
        <v>0</v>
      </c>
      <c r="I107" s="211">
        <v>0</v>
      </c>
      <c r="J107" s="207"/>
    </row>
    <row r="108" spans="1:10" ht="18.75" x14ac:dyDescent="0.3">
      <c r="A108" s="212" t="s">
        <v>112</v>
      </c>
      <c r="B108" s="213" t="s">
        <v>290</v>
      </c>
      <c r="C108" s="210">
        <f>'NCLB Title I-A Formula'!G117</f>
        <v>0</v>
      </c>
      <c r="D108" s="210">
        <v>0</v>
      </c>
      <c r="E108" s="210">
        <v>0</v>
      </c>
      <c r="F108" s="210">
        <f>'NCLB Title II-A Formula'!G117</f>
        <v>0</v>
      </c>
      <c r="G108" s="210">
        <f>'NCLB Title III-A '!G117</f>
        <v>0</v>
      </c>
      <c r="H108" s="210">
        <v>0</v>
      </c>
      <c r="I108" s="211">
        <v>0</v>
      </c>
      <c r="J108" s="207"/>
    </row>
    <row r="109" spans="1:10" ht="18.75" x14ac:dyDescent="0.3">
      <c r="A109" s="212" t="s">
        <v>113</v>
      </c>
      <c r="B109" s="213" t="s">
        <v>291</v>
      </c>
      <c r="C109" s="210">
        <f>'NCLB Title I-A Formula'!G118</f>
        <v>0</v>
      </c>
      <c r="D109" s="210">
        <v>0</v>
      </c>
      <c r="E109" s="210">
        <v>0</v>
      </c>
      <c r="F109" s="210">
        <f>'NCLB Title II-A Formula'!G118</f>
        <v>0</v>
      </c>
      <c r="G109" s="210">
        <f>'NCLB Title III-A '!G118</f>
        <v>0</v>
      </c>
      <c r="H109" s="210">
        <v>0</v>
      </c>
      <c r="I109" s="211">
        <v>0</v>
      </c>
      <c r="J109" s="207"/>
    </row>
    <row r="110" spans="1:10" ht="18.75" x14ac:dyDescent="0.3">
      <c r="A110" s="212" t="s">
        <v>114</v>
      </c>
      <c r="B110" s="213" t="s">
        <v>292</v>
      </c>
      <c r="C110" s="210">
        <f>'NCLB Title I-A Formula'!G119</f>
        <v>0</v>
      </c>
      <c r="D110" s="210">
        <v>0</v>
      </c>
      <c r="E110" s="210">
        <v>0</v>
      </c>
      <c r="F110" s="210">
        <f>'NCLB Title II-A Formula'!G119</f>
        <v>0</v>
      </c>
      <c r="G110" s="210">
        <f>'NCLB Title III-A '!G119</f>
        <v>0</v>
      </c>
      <c r="H110" s="210">
        <v>0</v>
      </c>
      <c r="I110" s="211">
        <v>0</v>
      </c>
      <c r="J110" s="207"/>
    </row>
    <row r="111" spans="1:10" ht="18.75" x14ac:dyDescent="0.3">
      <c r="A111" s="212" t="s">
        <v>115</v>
      </c>
      <c r="B111" s="213" t="s">
        <v>293</v>
      </c>
      <c r="C111" s="210">
        <f>'NCLB Title I-A Formula'!G120</f>
        <v>0</v>
      </c>
      <c r="D111" s="210">
        <f>'NCLB Title I-C Migrant'!$E$118</f>
        <v>99379</v>
      </c>
      <c r="E111" s="210">
        <f>'NCLB Title I-Delinquent'!E118</f>
        <v>0</v>
      </c>
      <c r="F111" s="210">
        <f>'NCLB Title II-A Formula'!G120</f>
        <v>0</v>
      </c>
      <c r="G111" s="210">
        <f>'NCLB Title III-A '!G120</f>
        <v>0</v>
      </c>
      <c r="H111" s="210">
        <f>'NCLB Title III SAI'!$G$120</f>
        <v>0</v>
      </c>
      <c r="I111" s="211">
        <v>0</v>
      </c>
      <c r="J111" s="207"/>
    </row>
    <row r="112" spans="1:10" ht="18.75" x14ac:dyDescent="0.3">
      <c r="A112" s="212" t="s">
        <v>116</v>
      </c>
      <c r="B112" s="213" t="s">
        <v>294</v>
      </c>
      <c r="C112" s="210">
        <f>'NCLB Title I-A Formula'!G121</f>
        <v>0</v>
      </c>
      <c r="D112" s="210">
        <v>0</v>
      </c>
      <c r="E112" s="210">
        <v>0</v>
      </c>
      <c r="F112" s="210">
        <f>'NCLB Title II-A Formula'!G121</f>
        <v>0</v>
      </c>
      <c r="G112" s="210">
        <f>'NCLB Title III-A '!G121</f>
        <v>0</v>
      </c>
      <c r="H112" s="210">
        <v>0</v>
      </c>
      <c r="I112" s="211">
        <v>0</v>
      </c>
      <c r="J112" s="207"/>
    </row>
    <row r="113" spans="1:10" ht="18.75" x14ac:dyDescent="0.3">
      <c r="A113" s="212" t="s">
        <v>117</v>
      </c>
      <c r="B113" s="213" t="s">
        <v>295</v>
      </c>
      <c r="C113" s="210">
        <f>'NCLB Title I-A Formula'!G122</f>
        <v>0</v>
      </c>
      <c r="D113" s="210">
        <v>0</v>
      </c>
      <c r="E113" s="210">
        <v>0</v>
      </c>
      <c r="F113" s="210">
        <f>'NCLB Title II-A Formula'!G122</f>
        <v>0</v>
      </c>
      <c r="G113" s="210">
        <f>'NCLB Title III-A '!G122</f>
        <v>0</v>
      </c>
      <c r="H113" s="210">
        <v>0</v>
      </c>
      <c r="I113" s="211">
        <v>0</v>
      </c>
      <c r="J113" s="207"/>
    </row>
    <row r="114" spans="1:10" ht="18.75" x14ac:dyDescent="0.3">
      <c r="A114" s="212" t="s">
        <v>118</v>
      </c>
      <c r="B114" s="213" t="s">
        <v>296</v>
      </c>
      <c r="C114" s="210">
        <f>'NCLB Title I-A Formula'!G123</f>
        <v>0</v>
      </c>
      <c r="D114" s="210">
        <v>0</v>
      </c>
      <c r="E114" s="210">
        <v>0</v>
      </c>
      <c r="F114" s="210">
        <f>'NCLB Title II-A Formula'!G123</f>
        <v>0</v>
      </c>
      <c r="G114" s="210">
        <f>'NCLB Title III-A '!G123</f>
        <v>0</v>
      </c>
      <c r="H114" s="210">
        <f>'NCLB Title III SAI'!$G$123</f>
        <v>0</v>
      </c>
      <c r="I114" s="211">
        <v>0</v>
      </c>
      <c r="J114" s="207"/>
    </row>
    <row r="115" spans="1:10" ht="18.75" x14ac:dyDescent="0.3">
      <c r="A115" s="212" t="s">
        <v>119</v>
      </c>
      <c r="B115" s="213" t="s">
        <v>297</v>
      </c>
      <c r="C115" s="210">
        <f>'NCLB Title I-A Formula'!G124</f>
        <v>0</v>
      </c>
      <c r="D115" s="210">
        <v>0</v>
      </c>
      <c r="E115" s="210">
        <v>0</v>
      </c>
      <c r="F115" s="210">
        <f>'NCLB Title II-A Formula'!G124</f>
        <v>0</v>
      </c>
      <c r="G115" s="210">
        <v>0</v>
      </c>
      <c r="H115" s="210">
        <v>0</v>
      </c>
      <c r="I115" s="211">
        <v>0</v>
      </c>
      <c r="J115" s="207"/>
    </row>
    <row r="116" spans="1:10" ht="18.75" x14ac:dyDescent="0.3">
      <c r="A116" s="212" t="s">
        <v>120</v>
      </c>
      <c r="B116" s="213" t="s">
        <v>298</v>
      </c>
      <c r="C116" s="210">
        <f>'NCLB Title I-A Formula'!G125</f>
        <v>0</v>
      </c>
      <c r="D116" s="210">
        <v>0</v>
      </c>
      <c r="E116" s="210">
        <v>0</v>
      </c>
      <c r="F116" s="210">
        <f>'NCLB Title II-A Formula'!G125</f>
        <v>0</v>
      </c>
      <c r="G116" s="210">
        <v>0</v>
      </c>
      <c r="H116" s="210">
        <v>0</v>
      </c>
      <c r="I116" s="211">
        <v>0</v>
      </c>
      <c r="J116" s="207"/>
    </row>
    <row r="117" spans="1:10" ht="18.75" x14ac:dyDescent="0.3">
      <c r="A117" s="212" t="s">
        <v>121</v>
      </c>
      <c r="B117" s="213" t="s">
        <v>299</v>
      </c>
      <c r="C117" s="210">
        <f>'NCLB Title I-A Formula'!G126</f>
        <v>0</v>
      </c>
      <c r="D117" s="210">
        <v>0</v>
      </c>
      <c r="E117" s="210">
        <v>0</v>
      </c>
      <c r="F117" s="210">
        <f>'NCLB Title II-A Formula'!G126</f>
        <v>0</v>
      </c>
      <c r="G117" s="210">
        <f>'NCLB Title III-A '!G126</f>
        <v>0</v>
      </c>
      <c r="H117" s="210">
        <v>0</v>
      </c>
      <c r="I117" s="211">
        <v>0</v>
      </c>
      <c r="J117" s="207"/>
    </row>
    <row r="118" spans="1:10" ht="18.75" x14ac:dyDescent="0.3">
      <c r="A118" s="212" t="s">
        <v>122</v>
      </c>
      <c r="B118" s="213" t="s">
        <v>300</v>
      </c>
      <c r="C118" s="210">
        <f>'NCLB Title I-A Formula'!G127</f>
        <v>701</v>
      </c>
      <c r="D118" s="210">
        <v>0</v>
      </c>
      <c r="E118" s="210">
        <v>0</v>
      </c>
      <c r="F118" s="210">
        <f>'NCLB Title II-A Formula'!G127</f>
        <v>0</v>
      </c>
      <c r="G118" s="210">
        <v>0</v>
      </c>
      <c r="H118" s="210">
        <v>0</v>
      </c>
      <c r="I118" s="211">
        <v>0</v>
      </c>
      <c r="J118" s="207"/>
    </row>
    <row r="119" spans="1:10" ht="18.75" x14ac:dyDescent="0.3">
      <c r="A119" s="212" t="s">
        <v>123</v>
      </c>
      <c r="B119" s="213" t="s">
        <v>301</v>
      </c>
      <c r="C119" s="210">
        <f>'NCLB Title I-A Formula'!G128</f>
        <v>0</v>
      </c>
      <c r="D119" s="210">
        <v>0</v>
      </c>
      <c r="E119" s="210">
        <v>0</v>
      </c>
      <c r="F119" s="210">
        <f>'NCLB Title II-A Formula'!G128</f>
        <v>0</v>
      </c>
      <c r="G119" s="210">
        <v>0</v>
      </c>
      <c r="H119" s="210">
        <v>0</v>
      </c>
      <c r="I119" s="211">
        <v>0</v>
      </c>
      <c r="J119" s="207"/>
    </row>
    <row r="120" spans="1:10" ht="18.75" x14ac:dyDescent="0.3">
      <c r="A120" s="212" t="s">
        <v>124</v>
      </c>
      <c r="B120" s="213" t="s">
        <v>302</v>
      </c>
      <c r="C120" s="210">
        <f>'NCLB Title I-A Formula'!G129</f>
        <v>0</v>
      </c>
      <c r="D120" s="210">
        <v>0</v>
      </c>
      <c r="E120" s="210">
        <v>0</v>
      </c>
      <c r="F120" s="210">
        <f>'NCLB Title II-A Formula'!G129</f>
        <v>0</v>
      </c>
      <c r="G120" s="210">
        <f>'NCLB Title III-A '!G129</f>
        <v>0</v>
      </c>
      <c r="H120" s="210">
        <v>0</v>
      </c>
      <c r="I120" s="211">
        <v>0</v>
      </c>
      <c r="J120" s="207"/>
    </row>
    <row r="121" spans="1:10" ht="18.75" x14ac:dyDescent="0.3">
      <c r="A121" s="212" t="s">
        <v>125</v>
      </c>
      <c r="B121" s="213" t="s">
        <v>303</v>
      </c>
      <c r="C121" s="210">
        <f>'NCLB Title I-A Formula'!G130</f>
        <v>0</v>
      </c>
      <c r="D121" s="210">
        <v>0</v>
      </c>
      <c r="E121" s="210">
        <v>0</v>
      </c>
      <c r="F121" s="210">
        <f>'NCLB Title II-A Formula'!G130</f>
        <v>0</v>
      </c>
      <c r="G121" s="210">
        <v>0</v>
      </c>
      <c r="H121" s="210">
        <v>0</v>
      </c>
      <c r="I121" s="211">
        <v>0</v>
      </c>
      <c r="J121" s="207"/>
    </row>
    <row r="122" spans="1:10" ht="18.75" x14ac:dyDescent="0.3">
      <c r="A122" s="212" t="s">
        <v>126</v>
      </c>
      <c r="B122" s="213" t="s">
        <v>304</v>
      </c>
      <c r="C122" s="210">
        <f>'NCLB Title I-A Formula'!G131</f>
        <v>0</v>
      </c>
      <c r="D122" s="210">
        <v>0</v>
      </c>
      <c r="E122" s="210">
        <v>0</v>
      </c>
      <c r="F122" s="210">
        <f>'NCLB Title II-A Formula'!G131</f>
        <v>0</v>
      </c>
      <c r="G122" s="210">
        <v>0</v>
      </c>
      <c r="H122" s="210">
        <v>0</v>
      </c>
      <c r="I122" s="211">
        <v>0</v>
      </c>
      <c r="J122" s="207"/>
    </row>
    <row r="123" spans="1:10" ht="18.75" x14ac:dyDescent="0.3">
      <c r="A123" s="212" t="s">
        <v>127</v>
      </c>
      <c r="B123" s="213" t="s">
        <v>305</v>
      </c>
      <c r="C123" s="210">
        <f>'NCLB Title I-A Formula'!G132</f>
        <v>0</v>
      </c>
      <c r="D123" s="210">
        <v>0</v>
      </c>
      <c r="E123" s="210">
        <f>'NCLB Title I-Delinquent'!E130</f>
        <v>0</v>
      </c>
      <c r="F123" s="210">
        <f>'NCLB Title II-A Formula'!G132</f>
        <v>0</v>
      </c>
      <c r="G123" s="210">
        <f>'NCLB Title III-A '!G132</f>
        <v>0</v>
      </c>
      <c r="H123" s="210">
        <v>0</v>
      </c>
      <c r="I123" s="211">
        <f>'TITLE VI RURAL LI'!$E$134</f>
        <v>0</v>
      </c>
      <c r="J123" s="207"/>
    </row>
    <row r="124" spans="1:10" ht="18.75" x14ac:dyDescent="0.3">
      <c r="A124" s="212" t="s">
        <v>128</v>
      </c>
      <c r="B124" s="213" t="s">
        <v>306</v>
      </c>
      <c r="C124" s="210">
        <f>'NCLB Title I-A Formula'!G133</f>
        <v>0</v>
      </c>
      <c r="D124" s="210">
        <v>0</v>
      </c>
      <c r="E124" s="210">
        <v>0</v>
      </c>
      <c r="F124" s="210">
        <f>'NCLB Title II-A Formula'!G133</f>
        <v>0</v>
      </c>
      <c r="G124" s="210">
        <f>'NCLB Title III-A '!G133</f>
        <v>0</v>
      </c>
      <c r="H124" s="210">
        <f>'NCLB Title III SAI'!G133</f>
        <v>0</v>
      </c>
      <c r="I124" s="211">
        <f>'TITLE VI RURAL LI'!$E$135</f>
        <v>0</v>
      </c>
      <c r="J124" s="207"/>
    </row>
    <row r="125" spans="1:10" ht="18.75" x14ac:dyDescent="0.3">
      <c r="A125" s="212" t="s">
        <v>129</v>
      </c>
      <c r="B125" s="213" t="s">
        <v>307</v>
      </c>
      <c r="C125" s="210">
        <f>'NCLB Title I-A Formula'!G134</f>
        <v>0</v>
      </c>
      <c r="D125" s="210">
        <v>0</v>
      </c>
      <c r="E125" s="210">
        <v>0</v>
      </c>
      <c r="F125" s="210">
        <f>'NCLB Title II-A Formula'!G134</f>
        <v>0</v>
      </c>
      <c r="G125" s="210">
        <v>0</v>
      </c>
      <c r="H125" s="210">
        <v>0</v>
      </c>
      <c r="I125" s="211">
        <v>0</v>
      </c>
      <c r="J125" s="207"/>
    </row>
    <row r="126" spans="1:10" ht="18.75" x14ac:dyDescent="0.3">
      <c r="A126" s="212" t="s">
        <v>130</v>
      </c>
      <c r="B126" s="213" t="s">
        <v>308</v>
      </c>
      <c r="C126" s="210">
        <f>'NCLB Title I-A Formula'!G135</f>
        <v>0</v>
      </c>
      <c r="D126" s="210">
        <v>0</v>
      </c>
      <c r="E126" s="210">
        <v>0</v>
      </c>
      <c r="F126" s="210">
        <f>'NCLB Title II-A Formula'!G135</f>
        <v>0</v>
      </c>
      <c r="G126" s="210">
        <v>0</v>
      </c>
      <c r="H126" s="210">
        <v>0</v>
      </c>
      <c r="I126" s="211">
        <v>0</v>
      </c>
      <c r="J126" s="207"/>
    </row>
    <row r="127" spans="1:10" ht="18.75" x14ac:dyDescent="0.3">
      <c r="A127" s="212" t="s">
        <v>131</v>
      </c>
      <c r="B127" s="213" t="s">
        <v>309</v>
      </c>
      <c r="C127" s="210">
        <f>'NCLB Title I-A Formula'!G136</f>
        <v>0</v>
      </c>
      <c r="D127" s="210">
        <v>0</v>
      </c>
      <c r="E127" s="210">
        <v>0</v>
      </c>
      <c r="F127" s="210">
        <f>'NCLB Title II-A Formula'!G136</f>
        <v>0</v>
      </c>
      <c r="G127" s="210">
        <f>'NCLB Title III-A '!G136</f>
        <v>0</v>
      </c>
      <c r="H127" s="210">
        <v>0</v>
      </c>
      <c r="I127" s="211">
        <v>0</v>
      </c>
      <c r="J127" s="207"/>
    </row>
    <row r="128" spans="1:10" ht="18.75" x14ac:dyDescent="0.3">
      <c r="A128" s="212" t="s">
        <v>132</v>
      </c>
      <c r="B128" s="213" t="s">
        <v>310</v>
      </c>
      <c r="C128" s="210">
        <f>'NCLB Title I-A Formula'!G137</f>
        <v>0</v>
      </c>
      <c r="D128" s="210">
        <v>0</v>
      </c>
      <c r="E128" s="210">
        <v>0</v>
      </c>
      <c r="F128" s="210">
        <f>'NCLB Title II-A Formula'!G137</f>
        <v>0</v>
      </c>
      <c r="G128" s="210">
        <f>'NCLB Title III-A '!G137</f>
        <v>0</v>
      </c>
      <c r="H128" s="210">
        <v>0</v>
      </c>
      <c r="I128" s="211">
        <v>0</v>
      </c>
      <c r="J128" s="207"/>
    </row>
    <row r="129" spans="1:10" ht="18.75" x14ac:dyDescent="0.3">
      <c r="A129" s="212" t="s">
        <v>133</v>
      </c>
      <c r="B129" s="213" t="s">
        <v>311</v>
      </c>
      <c r="C129" s="210">
        <f>'NCLB Title I-A Formula'!G138</f>
        <v>0</v>
      </c>
      <c r="D129" s="210">
        <v>0</v>
      </c>
      <c r="E129" s="210">
        <v>0</v>
      </c>
      <c r="F129" s="210">
        <f>'NCLB Title II-A Formula'!G138</f>
        <v>0</v>
      </c>
      <c r="G129" s="210">
        <f>'NCLB Title III-A '!G138</f>
        <v>0</v>
      </c>
      <c r="H129" s="210">
        <v>0</v>
      </c>
      <c r="I129" s="211">
        <v>0</v>
      </c>
      <c r="J129" s="207"/>
    </row>
    <row r="130" spans="1:10" ht="18.75" x14ac:dyDescent="0.3">
      <c r="A130" s="212" t="s">
        <v>134</v>
      </c>
      <c r="B130" s="213" t="s">
        <v>312</v>
      </c>
      <c r="C130" s="210">
        <f>'NCLB Title I-A Formula'!G139</f>
        <v>0</v>
      </c>
      <c r="D130" s="210">
        <v>0</v>
      </c>
      <c r="E130" s="210">
        <v>0</v>
      </c>
      <c r="F130" s="210">
        <f>'NCLB Title II-A Formula'!G139</f>
        <v>0</v>
      </c>
      <c r="G130" s="210">
        <v>0</v>
      </c>
      <c r="H130" s="210">
        <f>'NCLB Title III SAI'!$G$139</f>
        <v>0</v>
      </c>
      <c r="I130" s="211">
        <v>0</v>
      </c>
      <c r="J130" s="207"/>
    </row>
    <row r="131" spans="1:10" ht="18.75" x14ac:dyDescent="0.3">
      <c r="A131" s="212" t="s">
        <v>135</v>
      </c>
      <c r="B131" s="213" t="s">
        <v>313</v>
      </c>
      <c r="C131" s="210">
        <f>'NCLB Title I-A Formula'!G140</f>
        <v>0</v>
      </c>
      <c r="D131" s="210">
        <v>0</v>
      </c>
      <c r="E131" s="210">
        <v>0</v>
      </c>
      <c r="F131" s="210">
        <f>'NCLB Title II-A Formula'!G140</f>
        <v>0</v>
      </c>
      <c r="G131" s="210">
        <f>'NCLB Title III-A '!G140</f>
        <v>0</v>
      </c>
      <c r="H131" s="210">
        <v>0</v>
      </c>
      <c r="I131" s="211">
        <v>0</v>
      </c>
      <c r="J131" s="207"/>
    </row>
    <row r="132" spans="1:10" ht="18.75" x14ac:dyDescent="0.3">
      <c r="A132" s="212" t="s">
        <v>136</v>
      </c>
      <c r="B132" s="213" t="s">
        <v>314</v>
      </c>
      <c r="C132" s="210">
        <f>'NCLB Title I-A Formula'!G141</f>
        <v>0</v>
      </c>
      <c r="D132" s="210">
        <v>0</v>
      </c>
      <c r="E132" s="210">
        <v>0</v>
      </c>
      <c r="F132" s="210">
        <f>'NCLB Title II-A Formula'!G141</f>
        <v>0</v>
      </c>
      <c r="G132" s="210">
        <f>'NCLB Title III-A '!G141</f>
        <v>0</v>
      </c>
      <c r="H132" s="210">
        <v>0</v>
      </c>
      <c r="I132" s="211">
        <v>0</v>
      </c>
      <c r="J132" s="207"/>
    </row>
    <row r="133" spans="1:10" ht="18.75" x14ac:dyDescent="0.3">
      <c r="A133" s="212" t="s">
        <v>137</v>
      </c>
      <c r="B133" s="213" t="s">
        <v>315</v>
      </c>
      <c r="C133" s="210">
        <f>'NCLB Title I-A Formula'!G142</f>
        <v>0</v>
      </c>
      <c r="D133" s="210">
        <v>0</v>
      </c>
      <c r="E133" s="210">
        <v>0</v>
      </c>
      <c r="F133" s="210">
        <f>'NCLB Title II-A Formula'!G142</f>
        <v>0</v>
      </c>
      <c r="G133" s="210">
        <f>'NCLB Title III-A '!G142</f>
        <v>0</v>
      </c>
      <c r="H133" s="210">
        <v>0</v>
      </c>
      <c r="I133" s="211">
        <v>0</v>
      </c>
      <c r="J133" s="207"/>
    </row>
    <row r="134" spans="1:10" ht="18.75" x14ac:dyDescent="0.3">
      <c r="A134" s="212" t="s">
        <v>138</v>
      </c>
      <c r="B134" s="213" t="s">
        <v>316</v>
      </c>
      <c r="C134" s="210">
        <f>'NCLB Title I-A Formula'!G143</f>
        <v>0</v>
      </c>
      <c r="D134" s="210">
        <v>0</v>
      </c>
      <c r="E134" s="210">
        <v>0</v>
      </c>
      <c r="F134" s="210">
        <f>'NCLB Title II-A Formula'!G143</f>
        <v>0</v>
      </c>
      <c r="G134" s="210">
        <f>'NCLB Title III-A '!G143</f>
        <v>0</v>
      </c>
      <c r="H134" s="210">
        <v>0</v>
      </c>
      <c r="I134" s="211">
        <v>0</v>
      </c>
      <c r="J134" s="207"/>
    </row>
    <row r="135" spans="1:10" ht="18.75" x14ac:dyDescent="0.3">
      <c r="A135" s="212" t="s">
        <v>139</v>
      </c>
      <c r="B135" s="213" t="s">
        <v>317</v>
      </c>
      <c r="C135" s="210">
        <f>'NCLB Title I-A Formula'!G144</f>
        <v>0</v>
      </c>
      <c r="D135" s="210">
        <v>0</v>
      </c>
      <c r="E135" s="210">
        <v>0</v>
      </c>
      <c r="F135" s="210">
        <f>'NCLB Title II-A Formula'!G144</f>
        <v>0</v>
      </c>
      <c r="G135" s="210">
        <f>'NCLB Title III-A '!G144</f>
        <v>0</v>
      </c>
      <c r="H135" s="210">
        <v>0</v>
      </c>
      <c r="I135" s="211">
        <v>0</v>
      </c>
      <c r="J135" s="207"/>
    </row>
    <row r="136" spans="1:10" ht="18.75" x14ac:dyDescent="0.3">
      <c r="A136" s="212" t="s">
        <v>140</v>
      </c>
      <c r="B136" s="213" t="s">
        <v>318</v>
      </c>
      <c r="C136" s="210">
        <f>'NCLB Title I-A Formula'!G145</f>
        <v>0</v>
      </c>
      <c r="D136" s="210">
        <v>0</v>
      </c>
      <c r="E136" s="210">
        <v>0</v>
      </c>
      <c r="F136" s="210">
        <f>'NCLB Title II-A Formula'!G145</f>
        <v>0</v>
      </c>
      <c r="G136" s="210">
        <v>0</v>
      </c>
      <c r="H136" s="210">
        <v>0</v>
      </c>
      <c r="I136" s="211">
        <v>0</v>
      </c>
      <c r="J136" s="207"/>
    </row>
    <row r="137" spans="1:10" ht="18.75" x14ac:dyDescent="0.3">
      <c r="A137" s="212" t="s">
        <v>141</v>
      </c>
      <c r="B137" s="213" t="s">
        <v>319</v>
      </c>
      <c r="C137" s="210">
        <f>'NCLB Title I-A Formula'!G146</f>
        <v>0</v>
      </c>
      <c r="D137" s="210">
        <v>0</v>
      </c>
      <c r="E137" s="210">
        <v>0</v>
      </c>
      <c r="F137" s="210">
        <f>'NCLB Title II-A Formula'!G146</f>
        <v>0</v>
      </c>
      <c r="G137" s="210">
        <v>0</v>
      </c>
      <c r="H137" s="210">
        <v>0</v>
      </c>
      <c r="I137" s="211">
        <f>'TITLE VI RURAL LI'!$E$148</f>
        <v>11305</v>
      </c>
      <c r="J137" s="207"/>
    </row>
    <row r="138" spans="1:10" ht="18.75" x14ac:dyDescent="0.3">
      <c r="A138" s="212" t="s">
        <v>142</v>
      </c>
      <c r="B138" s="213" t="s">
        <v>320</v>
      </c>
      <c r="C138" s="210">
        <f>'NCLB Title I-A Formula'!G147</f>
        <v>0</v>
      </c>
      <c r="D138" s="210">
        <v>0</v>
      </c>
      <c r="E138" s="210">
        <v>0</v>
      </c>
      <c r="F138" s="210">
        <f>'NCLB Title II-A Formula'!G147</f>
        <v>0</v>
      </c>
      <c r="G138" s="210">
        <f>'NCLB Title III-A '!G147</f>
        <v>0</v>
      </c>
      <c r="H138" s="210">
        <v>0</v>
      </c>
      <c r="I138" s="211">
        <v>0</v>
      </c>
      <c r="J138" s="207"/>
    </row>
    <row r="139" spans="1:10" ht="18.75" x14ac:dyDescent="0.3">
      <c r="A139" s="212" t="s">
        <v>143</v>
      </c>
      <c r="B139" s="213" t="s">
        <v>321</v>
      </c>
      <c r="C139" s="210">
        <f>'NCLB Title I-A Formula'!G148</f>
        <v>0</v>
      </c>
      <c r="D139" s="210">
        <v>0</v>
      </c>
      <c r="E139" s="210">
        <v>0</v>
      </c>
      <c r="F139" s="210">
        <f>'NCLB Title II-A Formula'!G148</f>
        <v>0</v>
      </c>
      <c r="G139" s="210">
        <f>'NCLB Title III-A '!G148</f>
        <v>0</v>
      </c>
      <c r="H139" s="210">
        <v>0</v>
      </c>
      <c r="I139" s="211">
        <v>0</v>
      </c>
      <c r="J139" s="207"/>
    </row>
    <row r="140" spans="1:10" ht="18.75" x14ac:dyDescent="0.3">
      <c r="A140" s="212" t="s">
        <v>144</v>
      </c>
      <c r="B140" s="213" t="s">
        <v>322</v>
      </c>
      <c r="C140" s="210">
        <f>'NCLB Title I-A Formula'!G149</f>
        <v>0</v>
      </c>
      <c r="D140" s="210">
        <v>0</v>
      </c>
      <c r="E140" s="210">
        <f>'NCLB Title I-Delinquent'!E147</f>
        <v>0</v>
      </c>
      <c r="F140" s="210">
        <f>'NCLB Title II-A Formula'!G149</f>
        <v>0</v>
      </c>
      <c r="G140" s="210">
        <f>'NCLB Title III-A '!G149</f>
        <v>2084</v>
      </c>
      <c r="H140" s="210">
        <v>0</v>
      </c>
      <c r="I140" s="211">
        <v>0</v>
      </c>
      <c r="J140" s="207"/>
    </row>
    <row r="141" spans="1:10" ht="18.75" x14ac:dyDescent="0.3">
      <c r="A141" s="212" t="s">
        <v>145</v>
      </c>
      <c r="B141" s="213" t="s">
        <v>323</v>
      </c>
      <c r="C141" s="210">
        <f>'NCLB Title I-A Formula'!G150</f>
        <v>0</v>
      </c>
      <c r="D141" s="210">
        <v>0</v>
      </c>
      <c r="E141" s="210">
        <v>0</v>
      </c>
      <c r="F141" s="210">
        <f>'NCLB Title II-A Formula'!G150</f>
        <v>0</v>
      </c>
      <c r="G141" s="210">
        <f>'NCLB Title III-A '!G150</f>
        <v>0</v>
      </c>
      <c r="H141" s="210">
        <v>0</v>
      </c>
      <c r="I141" s="211">
        <v>0</v>
      </c>
      <c r="J141" s="207"/>
    </row>
    <row r="142" spans="1:10" ht="18.75" x14ac:dyDescent="0.3">
      <c r="A142" s="212" t="s">
        <v>146</v>
      </c>
      <c r="B142" s="213" t="s">
        <v>324</v>
      </c>
      <c r="C142" s="210">
        <f>'NCLB Title I-A Formula'!G151</f>
        <v>0</v>
      </c>
      <c r="D142" s="210">
        <v>0</v>
      </c>
      <c r="E142" s="210">
        <v>0</v>
      </c>
      <c r="F142" s="210">
        <f>'NCLB Title II-A Formula'!G151</f>
        <v>0</v>
      </c>
      <c r="G142" s="210">
        <f>'NCLB Title III-A '!G151</f>
        <v>0</v>
      </c>
      <c r="H142" s="210">
        <v>0</v>
      </c>
      <c r="I142" s="211">
        <v>0</v>
      </c>
      <c r="J142" s="207"/>
    </row>
    <row r="143" spans="1:10" ht="18.75" x14ac:dyDescent="0.3">
      <c r="A143" s="212" t="s">
        <v>147</v>
      </c>
      <c r="B143" s="213" t="s">
        <v>325</v>
      </c>
      <c r="C143" s="210">
        <f>'NCLB Title I-A Formula'!G152</f>
        <v>0</v>
      </c>
      <c r="D143" s="210">
        <v>0</v>
      </c>
      <c r="E143" s="210">
        <v>0</v>
      </c>
      <c r="F143" s="210">
        <f>'NCLB Title II-A Formula'!G152</f>
        <v>0</v>
      </c>
      <c r="G143" s="210">
        <f>'NCLB Title III-A '!G152</f>
        <v>0</v>
      </c>
      <c r="H143" s="210">
        <v>0</v>
      </c>
      <c r="I143" s="211">
        <v>0</v>
      </c>
      <c r="J143" s="207"/>
    </row>
    <row r="144" spans="1:10" ht="18.75" x14ac:dyDescent="0.3">
      <c r="A144" s="212" t="s">
        <v>148</v>
      </c>
      <c r="B144" s="213" t="s">
        <v>326</v>
      </c>
      <c r="C144" s="210">
        <f>'NCLB Title I-A Formula'!G153</f>
        <v>0</v>
      </c>
      <c r="D144" s="210">
        <v>0</v>
      </c>
      <c r="E144" s="210">
        <v>0</v>
      </c>
      <c r="F144" s="210">
        <f>'NCLB Title II-A Formula'!G153</f>
        <v>0</v>
      </c>
      <c r="G144" s="210">
        <v>0</v>
      </c>
      <c r="H144" s="210">
        <v>0</v>
      </c>
      <c r="I144" s="211">
        <v>0</v>
      </c>
      <c r="J144" s="207"/>
    </row>
    <row r="145" spans="1:10" ht="18.75" x14ac:dyDescent="0.3">
      <c r="A145" s="212" t="s">
        <v>149</v>
      </c>
      <c r="B145" s="213" t="s">
        <v>327</v>
      </c>
      <c r="C145" s="210">
        <f>'NCLB Title I-A Formula'!G154</f>
        <v>0</v>
      </c>
      <c r="D145" s="210">
        <v>0</v>
      </c>
      <c r="E145" s="210">
        <v>0</v>
      </c>
      <c r="F145" s="210">
        <f>'NCLB Title II-A Formula'!G154</f>
        <v>0</v>
      </c>
      <c r="G145" s="210">
        <f>'NCLB Title III-A '!G154</f>
        <v>0</v>
      </c>
      <c r="H145" s="210">
        <v>0</v>
      </c>
      <c r="I145" s="211">
        <f>'TITLE VI RURAL LI'!$E$156</f>
        <v>2825</v>
      </c>
      <c r="J145" s="207"/>
    </row>
    <row r="146" spans="1:10" ht="18.75" x14ac:dyDescent="0.3">
      <c r="A146" s="212" t="s">
        <v>150</v>
      </c>
      <c r="B146" s="213" t="s">
        <v>328</v>
      </c>
      <c r="C146" s="210">
        <f>'NCLB Title I-A Formula'!G155</f>
        <v>0</v>
      </c>
      <c r="D146" s="210">
        <v>0</v>
      </c>
      <c r="E146" s="210">
        <v>0</v>
      </c>
      <c r="F146" s="210">
        <f>'NCLB Title II-A Formula'!G155</f>
        <v>0</v>
      </c>
      <c r="G146" s="210">
        <f>'NCLB Title III-A '!G155</f>
        <v>0</v>
      </c>
      <c r="H146" s="210">
        <f>'NCLB Title III SAI'!$G$155</f>
        <v>0</v>
      </c>
      <c r="I146" s="211">
        <v>0</v>
      </c>
      <c r="J146" s="207"/>
    </row>
    <row r="147" spans="1:10" ht="18.75" x14ac:dyDescent="0.3">
      <c r="A147" s="212" t="s">
        <v>151</v>
      </c>
      <c r="B147" s="213" t="s">
        <v>329</v>
      </c>
      <c r="C147" s="210">
        <f>'NCLB Title I-A Formula'!G156</f>
        <v>0</v>
      </c>
      <c r="D147" s="210">
        <v>0</v>
      </c>
      <c r="E147" s="210">
        <v>0</v>
      </c>
      <c r="F147" s="210">
        <f>'NCLB Title II-A Formula'!G156</f>
        <v>0</v>
      </c>
      <c r="G147" s="210">
        <f>'NCLB Title III-A '!G156</f>
        <v>0</v>
      </c>
      <c r="H147" s="210">
        <v>0</v>
      </c>
      <c r="I147" s="211">
        <v>0</v>
      </c>
      <c r="J147" s="207"/>
    </row>
    <row r="148" spans="1:10" ht="18.75" x14ac:dyDescent="0.3">
      <c r="A148" s="212" t="s">
        <v>152</v>
      </c>
      <c r="B148" s="213" t="s">
        <v>330</v>
      </c>
      <c r="C148" s="210">
        <f>'NCLB Title I-A Formula'!G157</f>
        <v>0</v>
      </c>
      <c r="D148" s="210">
        <v>0</v>
      </c>
      <c r="E148" s="210">
        <v>0</v>
      </c>
      <c r="F148" s="210">
        <f>'NCLB Title II-A Formula'!G157</f>
        <v>0</v>
      </c>
      <c r="G148" s="210">
        <f>'NCLB Title III-A '!G157</f>
        <v>0</v>
      </c>
      <c r="H148" s="210">
        <f>'NCLB Title III SAI'!$G$157</f>
        <v>0</v>
      </c>
      <c r="I148" s="211">
        <v>0</v>
      </c>
      <c r="J148" s="207"/>
    </row>
    <row r="149" spans="1:10" ht="18.75" x14ac:dyDescent="0.3">
      <c r="A149" s="212" t="s">
        <v>153</v>
      </c>
      <c r="B149" s="213" t="s">
        <v>331</v>
      </c>
      <c r="C149" s="210">
        <f>'NCLB Title I-A Formula'!G158</f>
        <v>0</v>
      </c>
      <c r="D149" s="210">
        <v>0</v>
      </c>
      <c r="E149" s="210">
        <v>0</v>
      </c>
      <c r="F149" s="210">
        <f>'NCLB Title II-A Formula'!G158</f>
        <v>0</v>
      </c>
      <c r="G149" s="210">
        <v>0</v>
      </c>
      <c r="H149" s="210">
        <v>0</v>
      </c>
      <c r="I149" s="211">
        <v>0</v>
      </c>
      <c r="J149" s="207"/>
    </row>
    <row r="150" spans="1:10" ht="18.75" x14ac:dyDescent="0.3">
      <c r="A150" s="212" t="s">
        <v>154</v>
      </c>
      <c r="B150" s="213" t="s">
        <v>332</v>
      </c>
      <c r="C150" s="210">
        <f>'NCLB Title I-A Formula'!G159</f>
        <v>0</v>
      </c>
      <c r="D150" s="210">
        <v>0</v>
      </c>
      <c r="E150" s="210">
        <v>0</v>
      </c>
      <c r="F150" s="210">
        <f>'NCLB Title II-A Formula'!G159</f>
        <v>0</v>
      </c>
      <c r="G150" s="210">
        <f>'NCLB Title III-A '!G159</f>
        <v>0</v>
      </c>
      <c r="H150" s="210">
        <v>0</v>
      </c>
      <c r="I150" s="211">
        <v>0</v>
      </c>
      <c r="J150" s="207"/>
    </row>
    <row r="151" spans="1:10" ht="18.75" x14ac:dyDescent="0.3">
      <c r="A151" s="212" t="s">
        <v>155</v>
      </c>
      <c r="B151" s="213" t="s">
        <v>333</v>
      </c>
      <c r="C151" s="210">
        <f>'NCLB Title I-A Formula'!G160</f>
        <v>0</v>
      </c>
      <c r="D151" s="210">
        <v>0</v>
      </c>
      <c r="E151" s="210">
        <v>0</v>
      </c>
      <c r="F151" s="210">
        <f>'NCLB Title II-A Formula'!G160</f>
        <v>0</v>
      </c>
      <c r="G151" s="210">
        <v>0</v>
      </c>
      <c r="H151" s="210">
        <v>0</v>
      </c>
      <c r="I151" s="211">
        <v>0</v>
      </c>
      <c r="J151" s="207"/>
    </row>
    <row r="152" spans="1:10" ht="18.75" x14ac:dyDescent="0.3">
      <c r="A152" s="212" t="s">
        <v>156</v>
      </c>
      <c r="B152" s="213" t="s">
        <v>334</v>
      </c>
      <c r="C152" s="210">
        <f>'NCLB Title I-A Formula'!G161</f>
        <v>0</v>
      </c>
      <c r="D152" s="210">
        <v>0</v>
      </c>
      <c r="E152" s="210">
        <v>0</v>
      </c>
      <c r="F152" s="210">
        <f>'NCLB Title II-A Formula'!G161</f>
        <v>0</v>
      </c>
      <c r="G152" s="210">
        <f>'NCLB Title III-A '!G161</f>
        <v>0</v>
      </c>
      <c r="H152" s="210">
        <f>'NCLB Title III SAI'!G161</f>
        <v>0</v>
      </c>
      <c r="I152" s="211">
        <v>0</v>
      </c>
      <c r="J152" s="207"/>
    </row>
    <row r="153" spans="1:10" ht="18.75" x14ac:dyDescent="0.3">
      <c r="A153" s="212" t="s">
        <v>157</v>
      </c>
      <c r="B153" s="213" t="s">
        <v>335</v>
      </c>
      <c r="C153" s="210">
        <f>'NCLB Title I-A Formula'!G162</f>
        <v>0</v>
      </c>
      <c r="D153" s="210">
        <v>0</v>
      </c>
      <c r="E153" s="210">
        <v>0</v>
      </c>
      <c r="F153" s="210">
        <f>'NCLB Title II-A Formula'!G162</f>
        <v>0</v>
      </c>
      <c r="G153" s="210">
        <f>'NCLB Title III-A '!G162</f>
        <v>0</v>
      </c>
      <c r="H153" s="210">
        <f>'NCLB Title III SAI'!$G$162</f>
        <v>0</v>
      </c>
      <c r="I153" s="211">
        <v>0</v>
      </c>
      <c r="J153" s="207"/>
    </row>
    <row r="154" spans="1:10" ht="18.75" x14ac:dyDescent="0.3">
      <c r="A154" s="212" t="s">
        <v>158</v>
      </c>
      <c r="B154" s="213" t="s">
        <v>336</v>
      </c>
      <c r="C154" s="210">
        <f>'NCLB Title I-A Formula'!G163</f>
        <v>0</v>
      </c>
      <c r="D154" s="210">
        <v>0</v>
      </c>
      <c r="E154" s="210">
        <v>0</v>
      </c>
      <c r="F154" s="210">
        <f>'NCLB Title II-A Formula'!G163</f>
        <v>0</v>
      </c>
      <c r="G154" s="210">
        <f>'NCLB Title III-A '!G163</f>
        <v>0</v>
      </c>
      <c r="H154" s="210">
        <v>0</v>
      </c>
      <c r="I154" s="211">
        <v>0</v>
      </c>
      <c r="J154" s="207"/>
    </row>
    <row r="155" spans="1:10" ht="18.75" x14ac:dyDescent="0.3">
      <c r="A155" s="212" t="s">
        <v>159</v>
      </c>
      <c r="B155" s="213" t="s">
        <v>337</v>
      </c>
      <c r="C155" s="210">
        <f>'NCLB Title I-A Formula'!G164</f>
        <v>0</v>
      </c>
      <c r="D155" s="210">
        <v>0</v>
      </c>
      <c r="E155" s="210">
        <v>0</v>
      </c>
      <c r="F155" s="210">
        <f>'NCLB Title II-A Formula'!G164</f>
        <v>0</v>
      </c>
      <c r="G155" s="210">
        <f>'NCLB Title III-A '!G164</f>
        <v>0</v>
      </c>
      <c r="H155" s="210">
        <v>0</v>
      </c>
      <c r="I155" s="211">
        <v>0</v>
      </c>
      <c r="J155" s="207"/>
    </row>
    <row r="156" spans="1:10" ht="18.75" x14ac:dyDescent="0.3">
      <c r="A156" s="212" t="s">
        <v>160</v>
      </c>
      <c r="B156" s="213" t="s">
        <v>338</v>
      </c>
      <c r="C156" s="210">
        <f>'NCLB Title I-A Formula'!G165</f>
        <v>0</v>
      </c>
      <c r="D156" s="210">
        <v>0</v>
      </c>
      <c r="E156" s="210">
        <v>0</v>
      </c>
      <c r="F156" s="210">
        <f>'NCLB Title II-A Formula'!G165</f>
        <v>0</v>
      </c>
      <c r="G156" s="210">
        <f>'NCLB Title III-A '!G165</f>
        <v>0</v>
      </c>
      <c r="H156" s="210">
        <v>0</v>
      </c>
      <c r="I156" s="211">
        <v>0</v>
      </c>
      <c r="J156" s="207"/>
    </row>
    <row r="157" spans="1:10" ht="18.75" x14ac:dyDescent="0.3">
      <c r="A157" s="212" t="s">
        <v>161</v>
      </c>
      <c r="B157" s="213" t="s">
        <v>339</v>
      </c>
      <c r="C157" s="210">
        <f>'NCLB Title I-A Formula'!G166</f>
        <v>0</v>
      </c>
      <c r="D157" s="210">
        <v>0</v>
      </c>
      <c r="E157" s="210">
        <v>0</v>
      </c>
      <c r="F157" s="210">
        <f>'NCLB Title II-A Formula'!G166</f>
        <v>0</v>
      </c>
      <c r="G157" s="210">
        <f>'NCLB Title III-A '!G166</f>
        <v>0</v>
      </c>
      <c r="H157" s="210">
        <v>0</v>
      </c>
      <c r="I157" s="211">
        <v>0</v>
      </c>
      <c r="J157" s="207"/>
    </row>
    <row r="158" spans="1:10" ht="18.75" x14ac:dyDescent="0.3">
      <c r="A158" s="212" t="s">
        <v>162</v>
      </c>
      <c r="B158" s="213" t="s">
        <v>340</v>
      </c>
      <c r="C158" s="210">
        <f>'NCLB Title I-A Formula'!G167</f>
        <v>0</v>
      </c>
      <c r="D158" s="210">
        <v>0</v>
      </c>
      <c r="E158" s="210">
        <v>0</v>
      </c>
      <c r="F158" s="210">
        <f>'NCLB Title II-A Formula'!G167</f>
        <v>0</v>
      </c>
      <c r="G158" s="210">
        <f>'NCLB Title III-A '!G167</f>
        <v>0</v>
      </c>
      <c r="H158" s="210">
        <v>0</v>
      </c>
      <c r="I158" s="211">
        <v>0</v>
      </c>
      <c r="J158" s="207"/>
    </row>
    <row r="159" spans="1:10" ht="18.75" x14ac:dyDescent="0.3">
      <c r="A159" s="212" t="s">
        <v>163</v>
      </c>
      <c r="B159" s="213" t="s">
        <v>341</v>
      </c>
      <c r="C159" s="210">
        <f>'NCLB Title I-A Formula'!G168</f>
        <v>0</v>
      </c>
      <c r="D159" s="210">
        <v>0</v>
      </c>
      <c r="E159" s="210">
        <v>0</v>
      </c>
      <c r="F159" s="210">
        <f>'NCLB Title II-A Formula'!G168</f>
        <v>0</v>
      </c>
      <c r="G159" s="210">
        <f>'NCLB Title III-A '!G168</f>
        <v>0</v>
      </c>
      <c r="H159" s="210">
        <v>0</v>
      </c>
      <c r="I159" s="211">
        <v>0</v>
      </c>
      <c r="J159" s="207"/>
    </row>
    <row r="160" spans="1:10" ht="18.75" x14ac:dyDescent="0.3">
      <c r="A160" s="212" t="s">
        <v>164</v>
      </c>
      <c r="B160" s="213" t="s">
        <v>342</v>
      </c>
      <c r="C160" s="210">
        <f>'NCLB Title I-A Formula'!G169</f>
        <v>0</v>
      </c>
      <c r="D160" s="210">
        <v>0</v>
      </c>
      <c r="E160" s="210">
        <v>0</v>
      </c>
      <c r="F160" s="210">
        <f>'NCLB Title II-A Formula'!G169</f>
        <v>0</v>
      </c>
      <c r="G160" s="210">
        <f>'NCLB Title III-A '!G169</f>
        <v>0</v>
      </c>
      <c r="H160" s="210">
        <v>0</v>
      </c>
      <c r="I160" s="211">
        <v>0</v>
      </c>
      <c r="J160" s="207"/>
    </row>
    <row r="161" spans="1:10" ht="18.75" x14ac:dyDescent="0.3">
      <c r="A161" s="212" t="s">
        <v>165</v>
      </c>
      <c r="B161" s="213" t="s">
        <v>343</v>
      </c>
      <c r="C161" s="210">
        <f>'NCLB Title I-A Formula'!G170</f>
        <v>0</v>
      </c>
      <c r="D161" s="210">
        <v>0</v>
      </c>
      <c r="E161" s="210">
        <v>0</v>
      </c>
      <c r="F161" s="210">
        <f>'NCLB Title II-A Formula'!G170</f>
        <v>0</v>
      </c>
      <c r="G161" s="210">
        <v>0</v>
      </c>
      <c r="H161" s="210">
        <v>0</v>
      </c>
      <c r="I161" s="211">
        <v>0</v>
      </c>
      <c r="J161" s="207"/>
    </row>
    <row r="162" spans="1:10" ht="18.75" x14ac:dyDescent="0.3">
      <c r="A162" s="212" t="s">
        <v>166</v>
      </c>
      <c r="B162" s="213" t="s">
        <v>344</v>
      </c>
      <c r="C162" s="210">
        <f>'NCLB Title I-A Formula'!G171</f>
        <v>0</v>
      </c>
      <c r="D162" s="210">
        <v>0</v>
      </c>
      <c r="E162" s="210">
        <v>0</v>
      </c>
      <c r="F162" s="210">
        <f>'NCLB Title II-A Formula'!G171</f>
        <v>0</v>
      </c>
      <c r="G162" s="210">
        <f>'NCLB Title III-A '!G171</f>
        <v>0</v>
      </c>
      <c r="H162" s="210">
        <v>0</v>
      </c>
      <c r="I162" s="211">
        <v>0</v>
      </c>
      <c r="J162" s="207"/>
    </row>
    <row r="163" spans="1:10" ht="18.75" x14ac:dyDescent="0.3">
      <c r="A163" s="212" t="s">
        <v>167</v>
      </c>
      <c r="B163" s="213" t="s">
        <v>345</v>
      </c>
      <c r="C163" s="210">
        <f>'NCLB Title I-A Formula'!G172</f>
        <v>0</v>
      </c>
      <c r="D163" s="210">
        <v>0</v>
      </c>
      <c r="E163" s="210">
        <v>0</v>
      </c>
      <c r="F163" s="210">
        <f>'NCLB Title II-A Formula'!G172</f>
        <v>0</v>
      </c>
      <c r="G163" s="210">
        <f>'NCLB Title III-A '!G172</f>
        <v>0</v>
      </c>
      <c r="H163" s="210">
        <v>0</v>
      </c>
      <c r="I163" s="211">
        <v>0</v>
      </c>
      <c r="J163" s="207"/>
    </row>
    <row r="164" spans="1:10" ht="18.75" x14ac:dyDescent="0.3">
      <c r="A164" s="212" t="s">
        <v>168</v>
      </c>
      <c r="B164" s="213" t="s">
        <v>346</v>
      </c>
      <c r="C164" s="210">
        <f>'NCLB Title I-A Formula'!G173</f>
        <v>0</v>
      </c>
      <c r="D164" s="210">
        <v>0</v>
      </c>
      <c r="E164" s="210">
        <v>0</v>
      </c>
      <c r="F164" s="210">
        <f>'NCLB Title II-A Formula'!G173</f>
        <v>0</v>
      </c>
      <c r="G164" s="210">
        <f>'NCLB Title III-A '!G173</f>
        <v>0</v>
      </c>
      <c r="H164" s="210">
        <v>0</v>
      </c>
      <c r="I164" s="211">
        <v>0</v>
      </c>
      <c r="J164" s="207"/>
    </row>
    <row r="165" spans="1:10" ht="18.75" x14ac:dyDescent="0.3">
      <c r="A165" s="212" t="s">
        <v>169</v>
      </c>
      <c r="B165" s="213" t="s">
        <v>347</v>
      </c>
      <c r="C165" s="210">
        <f>'NCLB Title I-A Formula'!G174</f>
        <v>0</v>
      </c>
      <c r="D165" s="210">
        <v>0</v>
      </c>
      <c r="E165" s="210">
        <v>0</v>
      </c>
      <c r="F165" s="210">
        <f>'NCLB Title II-A Formula'!G174</f>
        <v>0</v>
      </c>
      <c r="G165" s="210">
        <f>'NCLB Title III-A '!G174</f>
        <v>0</v>
      </c>
      <c r="H165" s="210">
        <v>0</v>
      </c>
      <c r="I165" s="211">
        <v>0</v>
      </c>
      <c r="J165" s="207"/>
    </row>
    <row r="166" spans="1:10" ht="18.75" x14ac:dyDescent="0.3">
      <c r="A166" s="212" t="s">
        <v>170</v>
      </c>
      <c r="B166" s="213" t="s">
        <v>348</v>
      </c>
      <c r="C166" s="210">
        <f>'NCLB Title I-A Formula'!G175</f>
        <v>0</v>
      </c>
      <c r="D166" s="210">
        <v>0</v>
      </c>
      <c r="E166" s="210">
        <v>0</v>
      </c>
      <c r="F166" s="210">
        <f>'NCLB Title II-A Formula'!G175</f>
        <v>0</v>
      </c>
      <c r="G166" s="210">
        <f>'NCLB Title III-A '!G175</f>
        <v>0</v>
      </c>
      <c r="H166" s="210">
        <v>0</v>
      </c>
      <c r="I166" s="211">
        <v>0</v>
      </c>
      <c r="J166" s="207"/>
    </row>
    <row r="167" spans="1:10" ht="18.75" x14ac:dyDescent="0.3">
      <c r="A167" s="212" t="s">
        <v>171</v>
      </c>
      <c r="B167" s="213" t="s">
        <v>349</v>
      </c>
      <c r="C167" s="210">
        <f>'NCLB Title I-A Formula'!G176</f>
        <v>0</v>
      </c>
      <c r="D167" s="210">
        <v>0</v>
      </c>
      <c r="E167" s="210">
        <v>0</v>
      </c>
      <c r="F167" s="210">
        <f>'NCLB Title II-A Formula'!G176</f>
        <v>0</v>
      </c>
      <c r="G167" s="210">
        <v>0</v>
      </c>
      <c r="H167" s="210">
        <v>0</v>
      </c>
      <c r="I167" s="211">
        <v>0</v>
      </c>
      <c r="J167" s="207"/>
    </row>
    <row r="168" spans="1:10" ht="18.75" x14ac:dyDescent="0.3">
      <c r="A168" s="212" t="s">
        <v>172</v>
      </c>
      <c r="B168" s="213" t="s">
        <v>350</v>
      </c>
      <c r="C168" s="210">
        <f>'NCLB Title I-A Formula'!G177</f>
        <v>0</v>
      </c>
      <c r="D168" s="210">
        <v>0</v>
      </c>
      <c r="E168" s="210">
        <v>0</v>
      </c>
      <c r="F168" s="210">
        <f>'NCLB Title II-A Formula'!G177</f>
        <v>0</v>
      </c>
      <c r="G168" s="210">
        <f>'NCLB Title III-A '!G177</f>
        <v>0</v>
      </c>
      <c r="H168" s="210">
        <v>0</v>
      </c>
      <c r="I168" s="211">
        <v>0</v>
      </c>
      <c r="J168" s="207"/>
    </row>
    <row r="169" spans="1:10" ht="18.75" x14ac:dyDescent="0.3">
      <c r="A169" s="212" t="s">
        <v>173</v>
      </c>
      <c r="B169" s="213" t="s">
        <v>351</v>
      </c>
      <c r="C169" s="210">
        <f>'NCLB Title I-A Formula'!G178</f>
        <v>0</v>
      </c>
      <c r="D169" s="210">
        <v>0</v>
      </c>
      <c r="E169" s="210">
        <v>0</v>
      </c>
      <c r="F169" s="210">
        <f>'NCLB Title II-A Formula'!G178</f>
        <v>0</v>
      </c>
      <c r="G169" s="210">
        <f>'NCLB Title III-A '!G178</f>
        <v>0</v>
      </c>
      <c r="H169" s="210">
        <v>0</v>
      </c>
      <c r="I169" s="211">
        <v>0</v>
      </c>
      <c r="J169" s="207"/>
    </row>
    <row r="170" spans="1:10" ht="18.75" x14ac:dyDescent="0.3">
      <c r="A170" s="212" t="s">
        <v>174</v>
      </c>
      <c r="B170" s="213" t="s">
        <v>352</v>
      </c>
      <c r="C170" s="210">
        <f>'NCLB Title I-A Formula'!G179</f>
        <v>0</v>
      </c>
      <c r="D170" s="210">
        <v>0</v>
      </c>
      <c r="E170" s="210">
        <v>0</v>
      </c>
      <c r="F170" s="210">
        <f>'NCLB Title II-A Formula'!G179</f>
        <v>0</v>
      </c>
      <c r="G170" s="210">
        <f>'NCLB Title III-A '!G179</f>
        <v>0</v>
      </c>
      <c r="H170" s="210">
        <v>0</v>
      </c>
      <c r="I170" s="211">
        <v>0</v>
      </c>
      <c r="J170" s="207"/>
    </row>
    <row r="171" spans="1:10" ht="18.75" x14ac:dyDescent="0.3">
      <c r="A171" s="212" t="s">
        <v>175</v>
      </c>
      <c r="B171" s="213" t="s">
        <v>353</v>
      </c>
      <c r="C171" s="210">
        <f>'NCLB Title I-A Formula'!G180</f>
        <v>0</v>
      </c>
      <c r="D171" s="210">
        <v>0</v>
      </c>
      <c r="E171" s="210">
        <f>'NCLB Title I-Delinquent'!E178</f>
        <v>0</v>
      </c>
      <c r="F171" s="210">
        <f>'NCLB Title II-A Formula'!G180</f>
        <v>0</v>
      </c>
      <c r="G171" s="210">
        <f>'NCLB Title III-A '!G180</f>
        <v>0</v>
      </c>
      <c r="H171" s="210">
        <v>0</v>
      </c>
      <c r="I171" s="211">
        <v>0</v>
      </c>
      <c r="J171" s="207"/>
    </row>
    <row r="172" spans="1:10" ht="18.75" x14ac:dyDescent="0.3">
      <c r="A172" s="212" t="s">
        <v>176</v>
      </c>
      <c r="B172" s="213" t="s">
        <v>354</v>
      </c>
      <c r="C172" s="210">
        <f>'NCLB Title I-A Formula'!G181</f>
        <v>0</v>
      </c>
      <c r="D172" s="210">
        <v>0</v>
      </c>
      <c r="E172" s="210">
        <v>0</v>
      </c>
      <c r="F172" s="210">
        <f>'NCLB Title II-A Formula'!G181</f>
        <v>0</v>
      </c>
      <c r="G172" s="210">
        <f>'NCLB Title III-A '!G181</f>
        <v>0</v>
      </c>
      <c r="H172" s="210">
        <v>0</v>
      </c>
      <c r="I172" s="211">
        <v>0</v>
      </c>
      <c r="J172" s="207"/>
    </row>
    <row r="173" spans="1:10" ht="18.75" x14ac:dyDescent="0.3">
      <c r="A173" s="212" t="s">
        <v>177</v>
      </c>
      <c r="B173" s="213" t="s">
        <v>355</v>
      </c>
      <c r="C173" s="210">
        <f>'NCLB Title I-A Formula'!G182</f>
        <v>0</v>
      </c>
      <c r="D173" s="210">
        <v>0</v>
      </c>
      <c r="E173" s="210">
        <v>0</v>
      </c>
      <c r="F173" s="210">
        <f>'NCLB Title II-A Formula'!G182</f>
        <v>0</v>
      </c>
      <c r="G173" s="210">
        <f>'NCLB Title III-A '!G182</f>
        <v>0</v>
      </c>
      <c r="H173" s="210">
        <f>'NCLB Title III SAI'!$G$182</f>
        <v>0</v>
      </c>
      <c r="I173" s="211">
        <v>0</v>
      </c>
      <c r="J173" s="207"/>
    </row>
    <row r="174" spans="1:10" ht="18.75" x14ac:dyDescent="0.3">
      <c r="A174" s="212" t="s">
        <v>178</v>
      </c>
      <c r="B174" s="213" t="s">
        <v>356</v>
      </c>
      <c r="C174" s="210">
        <f>'NCLB Title I-A Formula'!G183</f>
        <v>0</v>
      </c>
      <c r="D174" s="210">
        <v>0</v>
      </c>
      <c r="E174" s="210">
        <v>0</v>
      </c>
      <c r="F174" s="210">
        <f>'NCLB Title II-A Formula'!G183</f>
        <v>0</v>
      </c>
      <c r="G174" s="210">
        <f>'NCLB Title III-A '!G183</f>
        <v>0</v>
      </c>
      <c r="H174" s="210">
        <f>'NCLB Title III SAI'!G183</f>
        <v>0</v>
      </c>
      <c r="I174" s="211">
        <v>0</v>
      </c>
      <c r="J174" s="207"/>
    </row>
    <row r="175" spans="1:10" ht="18.75" x14ac:dyDescent="0.3">
      <c r="A175" s="212" t="s">
        <v>179</v>
      </c>
      <c r="B175" s="213" t="s">
        <v>357</v>
      </c>
      <c r="C175" s="210">
        <f>'NCLB Title I-A Formula'!G184</f>
        <v>0</v>
      </c>
      <c r="D175" s="210">
        <v>0</v>
      </c>
      <c r="E175" s="210">
        <v>0</v>
      </c>
      <c r="F175" s="210">
        <f>'NCLB Title II-A Formula'!G184</f>
        <v>0</v>
      </c>
      <c r="G175" s="210">
        <f>'NCLB Title III-A '!G184</f>
        <v>0</v>
      </c>
      <c r="H175" s="210">
        <v>0</v>
      </c>
      <c r="I175" s="211">
        <v>0</v>
      </c>
      <c r="J175" s="207"/>
    </row>
    <row r="176" spans="1:10" ht="18.75" x14ac:dyDescent="0.3">
      <c r="A176" s="212" t="s">
        <v>180</v>
      </c>
      <c r="B176" s="213" t="s">
        <v>358</v>
      </c>
      <c r="C176" s="210">
        <f>'NCLB Title I-A Formula'!G185</f>
        <v>0</v>
      </c>
      <c r="D176" s="210">
        <v>0</v>
      </c>
      <c r="E176" s="210">
        <v>0</v>
      </c>
      <c r="F176" s="210">
        <f>'NCLB Title II-A Formula'!G185</f>
        <v>0</v>
      </c>
      <c r="G176" s="210">
        <f>'NCLB Title III-A '!G185</f>
        <v>0</v>
      </c>
      <c r="H176" s="210">
        <v>0</v>
      </c>
      <c r="I176" s="211">
        <v>0</v>
      </c>
      <c r="J176" s="207"/>
    </row>
    <row r="177" spans="1:10" ht="18.75" x14ac:dyDescent="0.3">
      <c r="A177" s="212" t="s">
        <v>181</v>
      </c>
      <c r="B177" s="213" t="s">
        <v>359</v>
      </c>
      <c r="C177" s="210">
        <f>'NCLB Title I-A Formula'!G186</f>
        <v>0</v>
      </c>
      <c r="D177" s="210">
        <v>0</v>
      </c>
      <c r="E177" s="210">
        <v>0</v>
      </c>
      <c r="F177" s="210">
        <f>'NCLB Title II-A Formula'!G186</f>
        <v>0</v>
      </c>
      <c r="G177" s="210">
        <f>'NCLB Title III-A '!G186</f>
        <v>0</v>
      </c>
      <c r="H177" s="210">
        <v>0</v>
      </c>
      <c r="I177" s="211">
        <v>0</v>
      </c>
      <c r="J177" s="207"/>
    </row>
    <row r="178" spans="1:10" ht="18.75" x14ac:dyDescent="0.3">
      <c r="A178" s="212" t="s">
        <v>182</v>
      </c>
      <c r="B178" s="213" t="s">
        <v>360</v>
      </c>
      <c r="C178" s="210">
        <f>'NCLB Title I-A Formula'!G187</f>
        <v>0</v>
      </c>
      <c r="D178" s="210">
        <v>0</v>
      </c>
      <c r="E178" s="210">
        <v>0</v>
      </c>
      <c r="F178" s="210">
        <f>'NCLB Title II-A Formula'!G187</f>
        <v>0</v>
      </c>
      <c r="G178" s="210">
        <f>'NCLB Title III-A '!G187</f>
        <v>0</v>
      </c>
      <c r="H178" s="210">
        <f>'NCLB Title III SAI'!$G$187</f>
        <v>0</v>
      </c>
      <c r="I178" s="211">
        <v>0</v>
      </c>
      <c r="J178" s="207"/>
    </row>
    <row r="179" spans="1:10" ht="18.75" x14ac:dyDescent="0.3">
      <c r="A179" s="212" t="s">
        <v>183</v>
      </c>
      <c r="B179" s="213" t="s">
        <v>361</v>
      </c>
      <c r="C179" s="210">
        <f>'NCLB Title I-A Formula'!G188</f>
        <v>0</v>
      </c>
      <c r="D179" s="210">
        <v>0</v>
      </c>
      <c r="E179" s="210">
        <v>0</v>
      </c>
      <c r="F179" s="210">
        <f>'NCLB Title II-A Formula'!G188</f>
        <v>0</v>
      </c>
      <c r="G179" s="210">
        <f>'NCLB Title III-A '!G188</f>
        <v>0</v>
      </c>
      <c r="H179" s="210">
        <v>0</v>
      </c>
      <c r="I179" s="211">
        <v>0</v>
      </c>
      <c r="J179" s="207"/>
    </row>
    <row r="180" spans="1:10" ht="18.75" x14ac:dyDescent="0.3">
      <c r="A180" s="212" t="s">
        <v>184</v>
      </c>
      <c r="B180" s="213" t="s">
        <v>362</v>
      </c>
      <c r="C180" s="210">
        <f>'NCLB Title I-A Formula'!G189</f>
        <v>0</v>
      </c>
      <c r="D180" s="210">
        <v>0</v>
      </c>
      <c r="E180" s="210">
        <v>0</v>
      </c>
      <c r="F180" s="210">
        <f>'NCLB Title II-A Formula'!G189</f>
        <v>0</v>
      </c>
      <c r="G180" s="210">
        <f>'NCLB Title III-A '!G189</f>
        <v>0</v>
      </c>
      <c r="H180" s="210">
        <v>0</v>
      </c>
      <c r="I180" s="211">
        <v>0</v>
      </c>
      <c r="J180" s="207"/>
    </row>
    <row r="181" spans="1:10" ht="18.75" x14ac:dyDescent="0.3">
      <c r="A181" s="212" t="s">
        <v>185</v>
      </c>
      <c r="B181" s="213" t="s">
        <v>363</v>
      </c>
      <c r="C181" s="210">
        <f>'NCLB Title I-A Formula'!G190</f>
        <v>0</v>
      </c>
      <c r="D181" s="210">
        <v>0</v>
      </c>
      <c r="E181" s="210">
        <v>0</v>
      </c>
      <c r="F181" s="210">
        <f>'NCLB Title II-A Formula'!G190</f>
        <v>0</v>
      </c>
      <c r="G181" s="210">
        <f>'NCLB Title III-A '!G190</f>
        <v>0</v>
      </c>
      <c r="H181" s="210">
        <v>0</v>
      </c>
      <c r="I181" s="211">
        <v>0</v>
      </c>
      <c r="J181" s="207"/>
    </row>
    <row r="182" spans="1:10" ht="18.75" x14ac:dyDescent="0.3">
      <c r="A182" s="214">
        <v>8001</v>
      </c>
      <c r="B182" s="213" t="s">
        <v>365</v>
      </c>
      <c r="C182" s="210">
        <f>'NCLB Title I-A Formula'!G191</f>
        <v>0</v>
      </c>
      <c r="D182" s="210">
        <v>0</v>
      </c>
      <c r="E182" s="210">
        <v>0</v>
      </c>
      <c r="F182" s="210">
        <f>'NCLB Title II-A Formula'!G191</f>
        <v>0</v>
      </c>
      <c r="G182" s="210">
        <f>'NCLB Title III-A '!G191</f>
        <v>0</v>
      </c>
      <c r="H182" s="210">
        <v>0</v>
      </c>
      <c r="I182" s="211">
        <v>0</v>
      </c>
      <c r="J182" s="207"/>
    </row>
    <row r="183" spans="1:10" ht="18.75" x14ac:dyDescent="0.3">
      <c r="A183" s="212" t="s">
        <v>367</v>
      </c>
      <c r="B183" s="213" t="s">
        <v>366</v>
      </c>
      <c r="C183" s="210">
        <f>'NCLB Title I-A Formula'!G192</f>
        <v>0</v>
      </c>
      <c r="D183" s="210">
        <v>0</v>
      </c>
      <c r="E183" s="210">
        <v>0</v>
      </c>
      <c r="F183" s="210">
        <f>'NCLB Title II-A Formula'!G192</f>
        <v>0</v>
      </c>
      <c r="G183" s="210">
        <f>'NCLB Title III-A '!G192</f>
        <v>0</v>
      </c>
      <c r="H183" s="210">
        <v>0</v>
      </c>
      <c r="I183" s="211">
        <v>0</v>
      </c>
      <c r="J183" s="207"/>
    </row>
    <row r="184" spans="1:10" ht="18.75" x14ac:dyDescent="0.3">
      <c r="A184" s="215" t="s">
        <v>375</v>
      </c>
      <c r="B184" s="216" t="s">
        <v>380</v>
      </c>
      <c r="C184" s="210">
        <f>'NCLB Title I-A Formula'!G193</f>
        <v>0</v>
      </c>
      <c r="D184" s="210">
        <v>0</v>
      </c>
      <c r="E184" s="210">
        <v>0</v>
      </c>
      <c r="F184" s="210">
        <f>'NCLB Title II-A Formula'!G193</f>
        <v>0</v>
      </c>
      <c r="G184" s="210">
        <f>'NCLB Title III-A '!G193</f>
        <v>0</v>
      </c>
      <c r="H184" s="210">
        <f>'NCLB Title III SAI'!$G$193</f>
        <v>0</v>
      </c>
      <c r="I184" s="211">
        <v>0</v>
      </c>
      <c r="J184" s="207"/>
    </row>
    <row r="185" spans="1:10" ht="18.75" x14ac:dyDescent="0.3">
      <c r="A185" s="215" t="s">
        <v>376</v>
      </c>
      <c r="B185" s="216" t="s">
        <v>381</v>
      </c>
      <c r="C185" s="210">
        <f>'NCLB Title I-A Formula'!G194</f>
        <v>0</v>
      </c>
      <c r="D185" s="210">
        <f>'NCLB Title I-C Migrant'!$E$192</f>
        <v>61440</v>
      </c>
      <c r="E185" s="210">
        <v>0</v>
      </c>
      <c r="F185" s="210">
        <f>'NCLB Title II-A Formula'!G194</f>
        <v>0</v>
      </c>
      <c r="G185" s="210">
        <f>'NCLB Title III-A '!$G$194</f>
        <v>0</v>
      </c>
      <c r="H185" s="210">
        <f>'NCLB Title III SAI'!$G$194</f>
        <v>0</v>
      </c>
      <c r="I185" s="211">
        <v>0</v>
      </c>
      <c r="J185" s="207"/>
    </row>
    <row r="186" spans="1:10" ht="18.75" x14ac:dyDescent="0.3">
      <c r="A186" s="215" t="s">
        <v>377</v>
      </c>
      <c r="B186" s="217" t="s">
        <v>382</v>
      </c>
      <c r="C186" s="210">
        <f>'NCLB Title I-A Formula'!G195</f>
        <v>0</v>
      </c>
      <c r="D186" s="210">
        <v>0</v>
      </c>
      <c r="E186" s="210">
        <v>0</v>
      </c>
      <c r="F186" s="210">
        <f>'NCLB Title II-A Formula'!G195</f>
        <v>0</v>
      </c>
      <c r="G186" s="210">
        <f>'NCLB Title III-A '!$G$195</f>
        <v>0</v>
      </c>
      <c r="H186" s="210">
        <v>0</v>
      </c>
      <c r="I186" s="211">
        <v>0</v>
      </c>
      <c r="J186" s="207"/>
    </row>
    <row r="187" spans="1:10" ht="18.75" x14ac:dyDescent="0.3">
      <c r="A187" s="215">
        <v>9050</v>
      </c>
      <c r="B187" s="217" t="s">
        <v>412</v>
      </c>
      <c r="C187" s="210">
        <v>0</v>
      </c>
      <c r="D187" s="210">
        <v>0</v>
      </c>
      <c r="E187" s="210">
        <v>0</v>
      </c>
      <c r="F187" s="210">
        <f>'NCLB Title II-A Formula'!G196</f>
        <v>0</v>
      </c>
      <c r="G187" s="210">
        <f>'NCLB Title III-A '!$G$196</f>
        <v>413</v>
      </c>
      <c r="H187" s="210">
        <v>0</v>
      </c>
      <c r="I187" s="211">
        <v>0</v>
      </c>
      <c r="J187" s="207"/>
    </row>
    <row r="188" spans="1:10" ht="18.75" x14ac:dyDescent="0.3">
      <c r="A188" s="215">
        <v>9055</v>
      </c>
      <c r="B188" s="217" t="s">
        <v>413</v>
      </c>
      <c r="C188" s="210">
        <v>0</v>
      </c>
      <c r="D188" s="210">
        <f>'NCLB Title I-C Migrant'!$E$194</f>
        <v>35444</v>
      </c>
      <c r="E188" s="210"/>
      <c r="F188" s="210">
        <f>'NCLB Title II-A Formula'!G197</f>
        <v>0</v>
      </c>
      <c r="G188" s="210">
        <f>'NCLB Title III-A '!$G$197</f>
        <v>1347</v>
      </c>
      <c r="H188" s="210">
        <v>0</v>
      </c>
      <c r="I188" s="211">
        <v>0</v>
      </c>
      <c r="J188" s="207"/>
    </row>
    <row r="189" spans="1:10" ht="18.75" x14ac:dyDescent="0.3">
      <c r="A189" s="215">
        <v>9060</v>
      </c>
      <c r="B189" s="217" t="s">
        <v>397</v>
      </c>
      <c r="C189" s="210">
        <v>0</v>
      </c>
      <c r="D189" s="210">
        <f>'NCLB Title I-C Migrant'!$E$195</f>
        <v>216898</v>
      </c>
      <c r="E189" s="210">
        <v>0</v>
      </c>
      <c r="F189" s="210">
        <f>'NCLB Title II-A Formula'!G198</f>
        <v>0</v>
      </c>
      <c r="G189" s="210">
        <f>'NCLB Title III-A '!$G$198</f>
        <v>0</v>
      </c>
      <c r="H189" s="210">
        <f>'NCLB Title III SAI'!$G$198</f>
        <v>5051</v>
      </c>
      <c r="I189" s="211">
        <v>0</v>
      </c>
      <c r="J189" s="207"/>
    </row>
    <row r="190" spans="1:10" ht="18.75" x14ac:dyDescent="0.3">
      <c r="A190" s="215">
        <v>9075</v>
      </c>
      <c r="B190" s="217" t="s">
        <v>436</v>
      </c>
      <c r="C190" s="210">
        <v>0</v>
      </c>
      <c r="D190" s="210">
        <v>0</v>
      </c>
      <c r="E190" s="210">
        <v>0</v>
      </c>
      <c r="F190" s="210">
        <v>0</v>
      </c>
      <c r="G190" s="210">
        <f>'NCLB Title III-A '!$G$199</f>
        <v>0</v>
      </c>
      <c r="H190" s="210">
        <f>'NCLB Title III SAI'!G199</f>
        <v>0</v>
      </c>
      <c r="I190" s="211">
        <v>0</v>
      </c>
      <c r="J190" s="207"/>
    </row>
    <row r="191" spans="1:10" ht="18.75" x14ac:dyDescent="0.3">
      <c r="A191" s="215" t="s">
        <v>378</v>
      </c>
      <c r="B191" s="216" t="s">
        <v>383</v>
      </c>
      <c r="C191" s="210">
        <f>'NCLB Title I-A Formula'!G196</f>
        <v>0</v>
      </c>
      <c r="D191" s="210">
        <v>0</v>
      </c>
      <c r="E191" s="210">
        <v>0</v>
      </c>
      <c r="F191" s="210">
        <f>'NCLB Title II-A Formula'!G200</f>
        <v>0</v>
      </c>
      <c r="G191" s="210">
        <f>'NCLB Title III-A '!$G$200</f>
        <v>0</v>
      </c>
      <c r="H191" s="210">
        <f>'NCLB Title III SAI'!$G$200</f>
        <v>0</v>
      </c>
      <c r="I191" s="211">
        <v>0</v>
      </c>
      <c r="J191" s="207"/>
    </row>
    <row r="192" spans="1:10" ht="19.5" thickBot="1" x14ac:dyDescent="0.35">
      <c r="A192" s="218" t="s">
        <v>379</v>
      </c>
      <c r="B192" s="219" t="s">
        <v>384</v>
      </c>
      <c r="C192" s="220">
        <f>'NCLB Title I-A Formula'!G197</f>
        <v>0</v>
      </c>
      <c r="D192" s="220">
        <v>0</v>
      </c>
      <c r="E192" s="220">
        <v>0</v>
      </c>
      <c r="F192" s="220">
        <f>'NCLB Title II-A Formula'!G201</f>
        <v>0</v>
      </c>
      <c r="G192" s="220"/>
      <c r="H192" s="220">
        <v>0</v>
      </c>
      <c r="I192" s="221">
        <v>0</v>
      </c>
      <c r="J192" s="207"/>
    </row>
    <row r="193" spans="1:10" ht="18.75" x14ac:dyDescent="0.3">
      <c r="A193" s="222"/>
      <c r="B193" s="222"/>
      <c r="C193" s="223"/>
      <c r="D193" s="223"/>
      <c r="E193" s="223"/>
      <c r="F193" s="223"/>
      <c r="G193" s="223"/>
      <c r="H193" s="223"/>
      <c r="I193" s="223"/>
      <c r="J193" s="207"/>
    </row>
    <row r="194" spans="1:10" ht="18.75" x14ac:dyDescent="0.3">
      <c r="A194" s="222"/>
      <c r="B194" s="222"/>
      <c r="C194" s="223">
        <f t="shared" ref="C194:I194" si="0">SUM(C4:C193)</f>
        <v>18883</v>
      </c>
      <c r="D194" s="223">
        <f t="shared" si="0"/>
        <v>563215</v>
      </c>
      <c r="E194" s="223">
        <f t="shared" si="0"/>
        <v>0</v>
      </c>
      <c r="F194" s="223">
        <f t="shared" si="0"/>
        <v>8208</v>
      </c>
      <c r="G194" s="223">
        <f t="shared" si="0"/>
        <v>14444</v>
      </c>
      <c r="H194" s="223">
        <f t="shared" si="0"/>
        <v>75860</v>
      </c>
      <c r="I194" s="223">
        <f t="shared" si="0"/>
        <v>30323</v>
      </c>
      <c r="J194" s="207"/>
    </row>
    <row r="195" spans="1:10" x14ac:dyDescent="0.25">
      <c r="A195" s="224"/>
      <c r="B195" s="224"/>
      <c r="C195" s="225"/>
      <c r="D195" s="225"/>
      <c r="E195" s="225"/>
      <c r="F195" s="225"/>
      <c r="G195" s="225"/>
      <c r="H195" s="225"/>
      <c r="I195" s="225"/>
      <c r="J195" s="207"/>
    </row>
    <row r="196" spans="1:10" x14ac:dyDescent="0.25">
      <c r="A196" s="224"/>
      <c r="B196" s="224"/>
      <c r="C196" s="225"/>
      <c r="D196" s="225"/>
      <c r="E196" s="225"/>
      <c r="F196" s="225"/>
      <c r="G196" s="225"/>
      <c r="H196" s="225"/>
      <c r="I196" s="225"/>
      <c r="J196" s="207"/>
    </row>
    <row r="197" spans="1:10" x14ac:dyDescent="0.25">
      <c r="C197" s="207"/>
      <c r="D197" s="207"/>
      <c r="E197" s="207"/>
      <c r="F197" s="207"/>
      <c r="G197" s="207"/>
      <c r="H197" s="207"/>
      <c r="I197" s="207"/>
      <c r="J197" s="207"/>
    </row>
    <row r="198" spans="1:10" x14ac:dyDescent="0.25">
      <c r="C198" s="207"/>
      <c r="D198" s="207"/>
      <c r="E198" s="207"/>
      <c r="F198" s="207"/>
      <c r="G198" s="207"/>
      <c r="H198" s="207"/>
      <c r="I198" s="207"/>
      <c r="J198" s="207"/>
    </row>
    <row r="199" spans="1:10" x14ac:dyDescent="0.25">
      <c r="C199" s="207"/>
      <c r="D199" s="207"/>
      <c r="E199" s="207"/>
      <c r="F199" s="207"/>
      <c r="G199" s="207"/>
      <c r="H199" s="207"/>
      <c r="I199" s="207"/>
      <c r="J199" s="207"/>
    </row>
    <row r="200" spans="1:10" x14ac:dyDescent="0.25">
      <c r="C200" s="207"/>
      <c r="D200" s="207"/>
      <c r="E200" s="207"/>
      <c r="F200" s="207"/>
      <c r="G200" s="207"/>
      <c r="H200" s="207"/>
      <c r="I200" s="207"/>
      <c r="J200" s="207"/>
    </row>
    <row r="201" spans="1:10" x14ac:dyDescent="0.25">
      <c r="C201" s="207"/>
      <c r="D201" s="207"/>
      <c r="E201" s="207"/>
      <c r="F201" s="207"/>
      <c r="G201" s="207"/>
      <c r="H201" s="207"/>
      <c r="I201" s="207"/>
      <c r="J201" s="207"/>
    </row>
    <row r="202" spans="1:10" x14ac:dyDescent="0.25">
      <c r="C202" s="207"/>
      <c r="D202" s="207"/>
      <c r="E202" s="207"/>
      <c r="F202" s="207"/>
      <c r="G202" s="207"/>
      <c r="H202" s="207"/>
      <c r="I202" s="207"/>
      <c r="J202" s="207"/>
    </row>
    <row r="203" spans="1:10" x14ac:dyDescent="0.25">
      <c r="C203" s="207"/>
      <c r="D203" s="207"/>
      <c r="E203" s="207"/>
      <c r="F203" s="207"/>
      <c r="G203" s="207"/>
      <c r="H203" s="207"/>
      <c r="I203" s="207"/>
      <c r="J203" s="207"/>
    </row>
    <row r="204" spans="1:10" x14ac:dyDescent="0.25">
      <c r="C204" s="207"/>
      <c r="D204" s="207"/>
      <c r="E204" s="207"/>
      <c r="F204" s="207"/>
      <c r="G204" s="207"/>
      <c r="H204" s="207"/>
      <c r="I204" s="207"/>
      <c r="J204" s="207"/>
    </row>
    <row r="205" spans="1:10" x14ac:dyDescent="0.25">
      <c r="C205" s="207"/>
      <c r="D205" s="207"/>
      <c r="E205" s="207"/>
      <c r="F205" s="207"/>
      <c r="G205" s="207"/>
      <c r="H205" s="207"/>
      <c r="I205" s="207"/>
      <c r="J205" s="207"/>
    </row>
    <row r="206" spans="1:10" x14ac:dyDescent="0.25">
      <c r="C206" s="207"/>
      <c r="D206" s="207"/>
      <c r="E206" s="207"/>
      <c r="F206" s="207"/>
      <c r="G206" s="207"/>
      <c r="H206" s="207"/>
      <c r="I206" s="207"/>
      <c r="J206" s="207"/>
    </row>
    <row r="207" spans="1:10" x14ac:dyDescent="0.25">
      <c r="C207" s="207"/>
      <c r="D207" s="207"/>
      <c r="E207" s="207"/>
      <c r="F207" s="207"/>
      <c r="G207" s="207"/>
      <c r="H207" s="207"/>
      <c r="I207" s="207"/>
      <c r="J207" s="207"/>
    </row>
    <row r="208" spans="1:10" x14ac:dyDescent="0.25">
      <c r="C208" s="207"/>
      <c r="D208" s="207"/>
      <c r="E208" s="207"/>
      <c r="F208" s="207"/>
      <c r="G208" s="207"/>
      <c r="H208" s="207"/>
      <c r="I208" s="207"/>
      <c r="J208" s="207"/>
    </row>
    <row r="209" spans="3:10" x14ac:dyDescent="0.25">
      <c r="C209" s="207"/>
      <c r="D209" s="207"/>
      <c r="E209" s="207"/>
      <c r="F209" s="207"/>
      <c r="G209" s="207"/>
      <c r="H209" s="207"/>
      <c r="I209" s="207"/>
      <c r="J209" s="207"/>
    </row>
    <row r="210" spans="3:10" x14ac:dyDescent="0.25">
      <c r="C210" s="207"/>
      <c r="D210" s="207"/>
      <c r="E210" s="207"/>
      <c r="F210" s="207"/>
      <c r="G210" s="207"/>
      <c r="H210" s="207"/>
      <c r="I210" s="207"/>
      <c r="J210" s="207"/>
    </row>
    <row r="211" spans="3:10" x14ac:dyDescent="0.25">
      <c r="C211" s="207"/>
      <c r="D211" s="207"/>
      <c r="E211" s="207"/>
      <c r="F211" s="207"/>
      <c r="G211" s="207"/>
      <c r="H211" s="207"/>
      <c r="I211" s="207"/>
      <c r="J211" s="207"/>
    </row>
    <row r="212" spans="3:10" x14ac:dyDescent="0.25">
      <c r="C212" s="207"/>
      <c r="D212" s="207"/>
      <c r="E212" s="207"/>
      <c r="F212" s="207"/>
      <c r="G212" s="207"/>
      <c r="H212" s="207"/>
      <c r="I212" s="207"/>
      <c r="J212" s="207"/>
    </row>
    <row r="213" spans="3:10" x14ac:dyDescent="0.25">
      <c r="C213" s="207"/>
      <c r="D213" s="207"/>
      <c r="E213" s="207"/>
      <c r="F213" s="207"/>
      <c r="G213" s="207"/>
      <c r="H213" s="207"/>
      <c r="I213" s="207"/>
      <c r="J213" s="207"/>
    </row>
    <row r="214" spans="3:10" x14ac:dyDescent="0.25">
      <c r="C214" s="207"/>
      <c r="D214" s="207"/>
      <c r="E214" s="207"/>
      <c r="F214" s="207"/>
      <c r="G214" s="207"/>
      <c r="H214" s="207"/>
      <c r="I214" s="207"/>
      <c r="J214" s="207"/>
    </row>
    <row r="215" spans="3:10" x14ac:dyDescent="0.25">
      <c r="C215" s="207"/>
      <c r="D215" s="207"/>
      <c r="E215" s="207"/>
      <c r="F215" s="207"/>
      <c r="G215" s="207"/>
      <c r="H215" s="207"/>
      <c r="I215" s="207"/>
      <c r="J215" s="207"/>
    </row>
    <row r="216" spans="3:10" x14ac:dyDescent="0.25">
      <c r="C216" s="207"/>
      <c r="D216" s="207"/>
      <c r="E216" s="207"/>
      <c r="F216" s="207"/>
      <c r="G216" s="207"/>
      <c r="H216" s="207"/>
      <c r="I216" s="207"/>
      <c r="J216" s="207"/>
    </row>
    <row r="217" spans="3:10" x14ac:dyDescent="0.25">
      <c r="C217" s="207"/>
      <c r="D217" s="207"/>
      <c r="E217" s="207"/>
      <c r="F217" s="207"/>
      <c r="G217" s="207"/>
      <c r="H217" s="207"/>
      <c r="I217" s="207"/>
      <c r="J217" s="207"/>
    </row>
    <row r="218" spans="3:10" x14ac:dyDescent="0.25">
      <c r="C218" s="207"/>
      <c r="D218" s="207"/>
      <c r="E218" s="207"/>
      <c r="F218" s="207"/>
      <c r="G218" s="207"/>
      <c r="H218" s="207"/>
      <c r="I218" s="207"/>
      <c r="J218" s="207"/>
    </row>
    <row r="219" spans="3:10" x14ac:dyDescent="0.25">
      <c r="C219" s="207"/>
      <c r="D219" s="207"/>
      <c r="E219" s="207"/>
      <c r="F219" s="207"/>
      <c r="G219" s="207"/>
      <c r="H219" s="207"/>
      <c r="I219" s="207"/>
      <c r="J219" s="207"/>
    </row>
    <row r="220" spans="3:10" x14ac:dyDescent="0.25">
      <c r="C220" s="207"/>
      <c r="D220" s="207"/>
      <c r="E220" s="207"/>
      <c r="F220" s="207"/>
      <c r="G220" s="207"/>
      <c r="H220" s="207"/>
      <c r="I220" s="207"/>
      <c r="J220" s="207"/>
    </row>
    <row r="221" spans="3:10" x14ac:dyDescent="0.25">
      <c r="C221" s="207"/>
      <c r="D221" s="207"/>
      <c r="E221" s="207"/>
      <c r="F221" s="207"/>
      <c r="G221" s="207"/>
      <c r="H221" s="207"/>
      <c r="I221" s="207"/>
      <c r="J221" s="207"/>
    </row>
    <row r="222" spans="3:10" x14ac:dyDescent="0.25">
      <c r="C222" s="207"/>
      <c r="D222" s="207"/>
      <c r="E222" s="207"/>
      <c r="F222" s="207"/>
      <c r="G222" s="207"/>
      <c r="H222" s="207"/>
      <c r="I222" s="207"/>
      <c r="J222" s="207"/>
    </row>
    <row r="223" spans="3:10" x14ac:dyDescent="0.25">
      <c r="C223" s="207"/>
      <c r="D223" s="207"/>
      <c r="E223" s="207"/>
      <c r="F223" s="207"/>
      <c r="G223" s="207"/>
      <c r="H223" s="207"/>
      <c r="I223" s="207"/>
      <c r="J223" s="207"/>
    </row>
    <row r="224" spans="3:10" x14ac:dyDescent="0.25">
      <c r="C224" s="207"/>
      <c r="D224" s="207"/>
      <c r="E224" s="207"/>
      <c r="F224" s="207"/>
      <c r="G224" s="207"/>
      <c r="H224" s="207"/>
      <c r="I224" s="207"/>
      <c r="J224" s="207"/>
    </row>
    <row r="225" spans="3:10" x14ac:dyDescent="0.25">
      <c r="C225" s="207"/>
      <c r="D225" s="207"/>
      <c r="E225" s="207"/>
      <c r="F225" s="207"/>
      <c r="G225" s="207"/>
      <c r="H225" s="207"/>
      <c r="I225" s="207"/>
      <c r="J225" s="207"/>
    </row>
  </sheetData>
  <sheetProtection password="EF32" sheet="1" objects="1" scenarios="1"/>
  <mergeCells count="1">
    <mergeCell ref="A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M228"/>
  <sheetViews>
    <sheetView zoomScaleNormal="100" workbookViewId="0">
      <pane xSplit="7" ySplit="12" topLeftCell="AE16" activePane="bottomRight" state="frozen"/>
      <selection activeCell="AA10" sqref="AA10"/>
      <selection pane="topRight" activeCell="AA10" sqref="AA10"/>
      <selection pane="bottomLeft" activeCell="AA10" sqref="AA10"/>
      <selection pane="bottomRight" activeCell="AE13" sqref="AE13"/>
    </sheetView>
  </sheetViews>
  <sheetFormatPr defaultColWidth="9.140625" defaultRowHeight="15" x14ac:dyDescent="0.25"/>
  <cols>
    <col min="1" max="1" width="9.140625" style="21"/>
    <col min="2" max="2" width="25.85546875" style="21" customWidth="1"/>
    <col min="3" max="3" width="18.5703125" style="21" customWidth="1"/>
    <col min="4" max="4" width="18.28515625" style="21" customWidth="1"/>
    <col min="5" max="5" width="12.42578125" style="21" customWidth="1"/>
    <col min="6" max="6" width="15.7109375" style="21" customWidth="1"/>
    <col min="7" max="7" width="17.5703125" style="21" bestFit="1" customWidth="1"/>
    <col min="8" max="34" width="15.7109375" style="21" customWidth="1"/>
    <col min="35" max="16384" width="9.140625" style="21"/>
  </cols>
  <sheetData>
    <row r="1" spans="1:39" s="226" customFormat="1" ht="21" x14ac:dyDescent="0.35">
      <c r="A1" s="227" t="s">
        <v>0</v>
      </c>
      <c r="B1" s="228"/>
      <c r="C1" s="229" t="s">
        <v>7</v>
      </c>
      <c r="D1" s="229"/>
      <c r="E1" s="229"/>
      <c r="F1" s="227"/>
      <c r="G1" s="227"/>
      <c r="H1" s="230"/>
      <c r="I1" s="230"/>
      <c r="J1" s="229" t="str">
        <f>A1</f>
        <v>Grant:</v>
      </c>
      <c r="K1" s="229" t="str">
        <f>C1</f>
        <v>Title I-A Formula</v>
      </c>
      <c r="L1" s="227"/>
      <c r="M1" s="227"/>
      <c r="N1" s="227"/>
      <c r="O1" s="227"/>
      <c r="P1" s="230"/>
      <c r="Q1" s="230"/>
      <c r="R1" s="229" t="s">
        <v>0</v>
      </c>
      <c r="S1" s="229" t="s">
        <v>7</v>
      </c>
      <c r="T1" s="227"/>
      <c r="U1" s="227"/>
      <c r="V1" s="227"/>
      <c r="W1" s="227"/>
      <c r="X1" s="230"/>
      <c r="Y1" s="230"/>
      <c r="Z1" s="229" t="s">
        <v>0</v>
      </c>
      <c r="AA1" s="229" t="s">
        <v>7</v>
      </c>
      <c r="AB1" s="227"/>
      <c r="AC1" s="227"/>
      <c r="AD1" s="227"/>
      <c r="AE1" s="227"/>
      <c r="AF1" s="230"/>
      <c r="AG1" s="230"/>
      <c r="AH1" s="229"/>
    </row>
    <row r="2" spans="1:39" s="226" customFormat="1" ht="15.75" x14ac:dyDescent="0.25">
      <c r="A2" s="231" t="s">
        <v>1</v>
      </c>
      <c r="B2" s="228"/>
      <c r="C2" s="232" t="s">
        <v>368</v>
      </c>
      <c r="D2" s="232"/>
      <c r="E2" s="232"/>
      <c r="F2" s="231"/>
      <c r="G2" s="231"/>
      <c r="H2" s="230"/>
      <c r="I2" s="230"/>
      <c r="J2" s="231" t="s">
        <v>2</v>
      </c>
      <c r="K2" s="231"/>
      <c r="L2" s="233" t="str">
        <f>$C$4</f>
        <v>2013-14</v>
      </c>
      <c r="M2" s="233"/>
      <c r="N2" s="231"/>
      <c r="O2" s="231"/>
      <c r="P2" s="231"/>
      <c r="Q2" s="231"/>
      <c r="R2" s="231" t="s">
        <v>2</v>
      </c>
      <c r="S2" s="231"/>
      <c r="T2" s="233" t="str">
        <f>$C$4</f>
        <v>2013-14</v>
      </c>
      <c r="U2" s="233"/>
      <c r="V2" s="231"/>
      <c r="W2" s="231"/>
      <c r="X2" s="231"/>
      <c r="Y2" s="231"/>
      <c r="Z2" s="231" t="s">
        <v>2</v>
      </c>
      <c r="AA2" s="231"/>
      <c r="AB2" s="233" t="str">
        <f>$C$4</f>
        <v>2013-14</v>
      </c>
      <c r="AC2" s="233"/>
      <c r="AD2" s="231"/>
      <c r="AE2" s="231"/>
      <c r="AF2" s="231"/>
      <c r="AG2" s="231"/>
      <c r="AH2" s="231"/>
    </row>
    <row r="3" spans="1:39" s="226" customFormat="1" ht="15.75" x14ac:dyDescent="0.25">
      <c r="A3" s="231" t="s">
        <v>4</v>
      </c>
      <c r="B3" s="228"/>
      <c r="C3" s="233">
        <v>4010</v>
      </c>
      <c r="D3" s="233"/>
      <c r="E3" s="233"/>
      <c r="F3" s="231"/>
      <c r="G3" s="231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</row>
    <row r="4" spans="1:39" s="226" customFormat="1" ht="21" x14ac:dyDescent="0.35">
      <c r="A4" s="231" t="s">
        <v>2</v>
      </c>
      <c r="B4" s="228"/>
      <c r="C4" s="229" t="s">
        <v>461</v>
      </c>
      <c r="D4" s="233"/>
      <c r="E4" s="233"/>
      <c r="F4" s="231"/>
      <c r="G4" s="231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</row>
    <row r="5" spans="1:39" s="226" customFormat="1" ht="15.75" x14ac:dyDescent="0.25">
      <c r="A5" s="231" t="s">
        <v>437</v>
      </c>
      <c r="B5" s="228"/>
      <c r="C5" s="231" t="s">
        <v>479</v>
      </c>
      <c r="D5" s="231"/>
      <c r="E5" s="231"/>
      <c r="F5" s="231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</row>
    <row r="6" spans="1:39" s="226" customFormat="1" ht="15.75" x14ac:dyDescent="0.25">
      <c r="A6" s="231" t="s">
        <v>5</v>
      </c>
      <c r="B6" s="228"/>
      <c r="C6" s="231" t="s">
        <v>369</v>
      </c>
      <c r="D6" s="231"/>
      <c r="E6" s="231"/>
      <c r="F6" s="231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</row>
    <row r="7" spans="1:39" s="226" customFormat="1" ht="15.75" x14ac:dyDescent="0.25">
      <c r="A7" s="231"/>
      <c r="B7" s="228"/>
      <c r="C7" s="231" t="s">
        <v>486</v>
      </c>
      <c r="D7" s="231"/>
      <c r="E7" s="231"/>
      <c r="F7" s="231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</row>
    <row r="8" spans="1:39" s="226" customFormat="1" ht="15.75" x14ac:dyDescent="0.25">
      <c r="A8" s="231"/>
      <c r="B8" s="228"/>
      <c r="C8" s="231"/>
      <c r="D8" s="231"/>
      <c r="E8" s="231"/>
      <c r="F8" s="231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1:39" s="226" customFormat="1" ht="15.75" x14ac:dyDescent="0.25">
      <c r="A9" s="231" t="s">
        <v>388</v>
      </c>
      <c r="B9" s="228"/>
      <c r="C9" s="231" t="s">
        <v>462</v>
      </c>
      <c r="D9" s="231"/>
      <c r="E9" s="231"/>
      <c r="F9" s="231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</row>
    <row r="10" spans="1:39" s="226" customFormat="1" ht="15.75" x14ac:dyDescent="0.25">
      <c r="A10" s="231" t="s">
        <v>389</v>
      </c>
      <c r="B10" s="228"/>
      <c r="C10" s="231" t="s">
        <v>390</v>
      </c>
      <c r="D10" s="231"/>
      <c r="E10" s="231"/>
      <c r="F10" s="231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</row>
    <row r="11" spans="1:39" s="226" customFormat="1" ht="16.5" thickBot="1" x14ac:dyDescent="0.3">
      <c r="A11" s="231" t="s">
        <v>438</v>
      </c>
      <c r="B11" s="228"/>
      <c r="C11" s="231" t="s">
        <v>463</v>
      </c>
      <c r="D11" s="231"/>
      <c r="E11" s="231"/>
      <c r="F11" s="231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</row>
    <row r="12" spans="1:39" s="90" customFormat="1" ht="48.75" customHeight="1" thickBot="1" x14ac:dyDescent="0.3">
      <c r="A12" s="128" t="s">
        <v>370</v>
      </c>
      <c r="B12" s="129" t="s">
        <v>371</v>
      </c>
      <c r="C12" s="271" t="s">
        <v>372</v>
      </c>
      <c r="D12" s="139" t="s">
        <v>394</v>
      </c>
      <c r="E12" s="131" t="s">
        <v>434</v>
      </c>
      <c r="F12" s="139" t="s">
        <v>373</v>
      </c>
      <c r="G12" s="194" t="s">
        <v>374</v>
      </c>
      <c r="H12" s="132" t="s">
        <v>385</v>
      </c>
      <c r="I12" s="132" t="s">
        <v>386</v>
      </c>
      <c r="J12" s="132" t="s">
        <v>387</v>
      </c>
      <c r="K12" s="132" t="s">
        <v>450</v>
      </c>
      <c r="L12" s="132" t="s">
        <v>451</v>
      </c>
      <c r="M12" s="132" t="s">
        <v>452</v>
      </c>
      <c r="N12" s="132" t="s">
        <v>453</v>
      </c>
      <c r="O12" s="132" t="s">
        <v>454</v>
      </c>
      <c r="P12" s="132" t="s">
        <v>455</v>
      </c>
      <c r="Q12" s="132" t="s">
        <v>456</v>
      </c>
      <c r="R12" s="132" t="s">
        <v>457</v>
      </c>
      <c r="S12" s="132" t="s">
        <v>458</v>
      </c>
      <c r="T12" s="132" t="s">
        <v>447</v>
      </c>
      <c r="U12" s="132" t="s">
        <v>448</v>
      </c>
      <c r="V12" s="132" t="s">
        <v>449</v>
      </c>
      <c r="W12" s="132" t="s">
        <v>464</v>
      </c>
      <c r="X12" s="132" t="s">
        <v>465</v>
      </c>
      <c r="Y12" s="132" t="s">
        <v>466</v>
      </c>
      <c r="Z12" s="132" t="s">
        <v>467</v>
      </c>
      <c r="AA12" s="132" t="s">
        <v>468</v>
      </c>
      <c r="AB12" s="132" t="s">
        <v>469</v>
      </c>
      <c r="AC12" s="132" t="s">
        <v>470</v>
      </c>
      <c r="AD12" s="132" t="s">
        <v>471</v>
      </c>
      <c r="AE12" s="132" t="s">
        <v>472</v>
      </c>
      <c r="AF12" s="132" t="s">
        <v>473</v>
      </c>
      <c r="AG12" s="132" t="s">
        <v>474</v>
      </c>
      <c r="AH12" s="132" t="s">
        <v>475</v>
      </c>
    </row>
    <row r="13" spans="1:39" s="13" customFormat="1" ht="19.5" thickBot="1" x14ac:dyDescent="0.35">
      <c r="A13" s="247">
        <v>10</v>
      </c>
      <c r="B13" s="136" t="s">
        <v>186</v>
      </c>
      <c r="C13" s="291">
        <v>1026734</v>
      </c>
      <c r="D13" s="273"/>
      <c r="E13" s="106"/>
      <c r="F13" s="106">
        <f t="shared" ref="F13:F44" si="0">SUM(H13:AH13)</f>
        <v>1026734</v>
      </c>
      <c r="G13" s="106">
        <f t="shared" ref="G13:G44" si="1">IF(ISBLANK(E13),C13-F13,C13-E13)</f>
        <v>0</v>
      </c>
      <c r="H13" s="84"/>
      <c r="I13" s="84"/>
      <c r="J13" s="84"/>
      <c r="K13" s="84"/>
      <c r="L13" s="84">
        <v>89563</v>
      </c>
      <c r="M13" s="84"/>
      <c r="N13" s="84">
        <v>86494</v>
      </c>
      <c r="O13" s="84">
        <v>41431</v>
      </c>
      <c r="P13" s="84">
        <v>137403</v>
      </c>
      <c r="Q13" s="84">
        <v>104463</v>
      </c>
      <c r="R13" s="84">
        <v>84326</v>
      </c>
      <c r="S13" s="84">
        <f>75410+90166</f>
        <v>165576</v>
      </c>
      <c r="T13" s="84"/>
      <c r="U13" s="84"/>
      <c r="V13" s="84">
        <v>253184</v>
      </c>
      <c r="W13" s="84">
        <v>3416</v>
      </c>
      <c r="X13" s="84"/>
      <c r="Y13" s="84">
        <v>60878</v>
      </c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5"/>
      <c r="AK13" s="85"/>
      <c r="AL13" s="85"/>
      <c r="AM13" s="85"/>
    </row>
    <row r="14" spans="1:39" s="13" customFormat="1" ht="19.5" thickBot="1" x14ac:dyDescent="0.35">
      <c r="A14" s="248">
        <v>20</v>
      </c>
      <c r="B14" s="59" t="s">
        <v>187</v>
      </c>
      <c r="C14" s="291">
        <v>4005331</v>
      </c>
      <c r="D14" s="274"/>
      <c r="E14" s="106"/>
      <c r="F14" s="106">
        <f t="shared" si="0"/>
        <v>4005331</v>
      </c>
      <c r="G14" s="106">
        <f t="shared" si="1"/>
        <v>0</v>
      </c>
      <c r="H14" s="84"/>
      <c r="I14" s="84"/>
      <c r="J14" s="84"/>
      <c r="K14" s="84"/>
      <c r="L14" s="84"/>
      <c r="M14" s="84">
        <v>167482</v>
      </c>
      <c r="N14" s="84"/>
      <c r="O14" s="84">
        <v>279982</v>
      </c>
      <c r="P14" s="84">
        <v>1037653</v>
      </c>
      <c r="Q14" s="84">
        <v>462070</v>
      </c>
      <c r="R14" s="84">
        <v>374120</v>
      </c>
      <c r="S14" s="84">
        <f>832609+197196</f>
        <v>1029805</v>
      </c>
      <c r="T14" s="84"/>
      <c r="U14" s="84"/>
      <c r="V14" s="84"/>
      <c r="W14" s="84">
        <v>67729</v>
      </c>
      <c r="X14" s="84">
        <v>184194</v>
      </c>
      <c r="Y14" s="84"/>
      <c r="Z14" s="84">
        <v>402296</v>
      </c>
      <c r="AA14" s="84"/>
      <c r="AB14" s="84"/>
      <c r="AC14" s="84"/>
      <c r="AD14" s="84"/>
      <c r="AE14" s="84"/>
      <c r="AF14" s="84"/>
      <c r="AG14" s="84"/>
      <c r="AH14" s="84"/>
      <c r="AI14" s="85"/>
      <c r="AJ14" s="85"/>
      <c r="AK14" s="85"/>
      <c r="AL14" s="85"/>
      <c r="AM14" s="85"/>
    </row>
    <row r="15" spans="1:39" s="13" customFormat="1" ht="19.5" thickBot="1" x14ac:dyDescent="0.35">
      <c r="A15" s="248">
        <v>30</v>
      </c>
      <c r="B15" s="59" t="s">
        <v>188</v>
      </c>
      <c r="C15" s="291">
        <v>1983238</v>
      </c>
      <c r="D15" s="274"/>
      <c r="E15" s="106"/>
      <c r="F15" s="106">
        <f t="shared" si="0"/>
        <v>1983238</v>
      </c>
      <c r="G15" s="106">
        <f t="shared" si="1"/>
        <v>0</v>
      </c>
      <c r="H15" s="84"/>
      <c r="I15" s="84"/>
      <c r="J15" s="84"/>
      <c r="K15" s="84"/>
      <c r="L15" s="84">
        <v>21644</v>
      </c>
      <c r="M15" s="84"/>
      <c r="N15" s="84">
        <f>287496+111103</f>
        <v>398599</v>
      </c>
      <c r="O15" s="84">
        <v>153399</v>
      </c>
      <c r="P15" s="84"/>
      <c r="Q15" s="84">
        <v>401306</v>
      </c>
      <c r="R15" s="84">
        <v>136420</v>
      </c>
      <c r="S15" s="84">
        <v>181218</v>
      </c>
      <c r="T15" s="84"/>
      <c r="U15" s="84">
        <v>339127</v>
      </c>
      <c r="V15" s="84">
        <v>61453</v>
      </c>
      <c r="W15" s="84"/>
      <c r="X15" s="84">
        <v>290072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85"/>
      <c r="AK15" s="85"/>
      <c r="AL15" s="85"/>
      <c r="AM15" s="85"/>
    </row>
    <row r="16" spans="1:39" s="13" customFormat="1" ht="19.5" thickBot="1" x14ac:dyDescent="0.35">
      <c r="A16" s="248">
        <v>40</v>
      </c>
      <c r="B16" s="268" t="s">
        <v>488</v>
      </c>
      <c r="C16" s="291">
        <v>1081449</v>
      </c>
      <c r="D16" s="274"/>
      <c r="E16" s="106"/>
      <c r="F16" s="106">
        <f t="shared" si="0"/>
        <v>1081449</v>
      </c>
      <c r="G16" s="106">
        <f t="shared" si="1"/>
        <v>0</v>
      </c>
      <c r="H16" s="84"/>
      <c r="I16" s="84"/>
      <c r="J16" s="84"/>
      <c r="K16" s="84"/>
      <c r="L16" s="84"/>
      <c r="M16" s="84"/>
      <c r="N16" s="84">
        <v>43960</v>
      </c>
      <c r="O16" s="84">
        <v>81431</v>
      </c>
      <c r="P16" s="84">
        <v>92661</v>
      </c>
      <c r="Q16" s="84">
        <v>94684</v>
      </c>
      <c r="R16" s="84"/>
      <c r="S16" s="84">
        <f>296689+171965</f>
        <v>468654</v>
      </c>
      <c r="T16" s="84"/>
      <c r="U16" s="84">
        <v>73523</v>
      </c>
      <c r="V16" s="84">
        <v>6000</v>
      </c>
      <c r="W16" s="84">
        <v>53149</v>
      </c>
      <c r="X16" s="84"/>
      <c r="Y16" s="84"/>
      <c r="Z16" s="84">
        <v>167387</v>
      </c>
      <c r="AA16" s="84"/>
      <c r="AB16" s="84"/>
      <c r="AC16" s="84"/>
      <c r="AD16" s="84"/>
      <c r="AE16" s="84"/>
      <c r="AF16" s="84"/>
      <c r="AG16" s="84"/>
      <c r="AH16" s="84"/>
      <c r="AI16" s="85"/>
      <c r="AJ16" s="85"/>
      <c r="AK16" s="85"/>
      <c r="AL16" s="85"/>
      <c r="AM16" s="85"/>
    </row>
    <row r="17" spans="1:39" s="13" customFormat="1" ht="19.5" thickBot="1" x14ac:dyDescent="0.35">
      <c r="A17" s="248">
        <v>50</v>
      </c>
      <c r="B17" s="59" t="s">
        <v>190</v>
      </c>
      <c r="C17" s="291">
        <v>68535</v>
      </c>
      <c r="D17" s="274">
        <v>9025</v>
      </c>
      <c r="E17" s="106">
        <f>IF(ISBLANK(D17),,C17)</f>
        <v>68535</v>
      </c>
      <c r="F17" s="106">
        <f t="shared" si="0"/>
        <v>0</v>
      </c>
      <c r="G17" s="106">
        <f t="shared" si="1"/>
        <v>0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85"/>
      <c r="AK17" s="85"/>
      <c r="AL17" s="85"/>
      <c r="AM17" s="85"/>
    </row>
    <row r="18" spans="1:39" s="13" customFormat="1" ht="19.5" thickBot="1" x14ac:dyDescent="0.35">
      <c r="A18" s="248">
        <v>60</v>
      </c>
      <c r="B18" s="59" t="s">
        <v>191</v>
      </c>
      <c r="C18" s="291">
        <v>61492</v>
      </c>
      <c r="D18" s="274">
        <v>9025</v>
      </c>
      <c r="E18" s="106">
        <f>IF(ISBLANK(D18),,C18)</f>
        <v>61492</v>
      </c>
      <c r="F18" s="106">
        <f t="shared" si="0"/>
        <v>0</v>
      </c>
      <c r="G18" s="106">
        <f t="shared" si="1"/>
        <v>0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J18" s="85"/>
      <c r="AK18" s="85"/>
      <c r="AL18" s="85"/>
      <c r="AM18" s="85"/>
    </row>
    <row r="19" spans="1:39" s="13" customFormat="1" ht="19.5" thickBot="1" x14ac:dyDescent="0.35">
      <c r="A19" s="248">
        <v>70</v>
      </c>
      <c r="B19" s="59" t="s">
        <v>192</v>
      </c>
      <c r="C19" s="291">
        <v>2983981</v>
      </c>
      <c r="D19" s="274"/>
      <c r="E19" s="106"/>
      <c r="F19" s="106">
        <f t="shared" si="0"/>
        <v>2983981</v>
      </c>
      <c r="G19" s="106">
        <f t="shared" si="1"/>
        <v>0</v>
      </c>
      <c r="H19" s="84"/>
      <c r="I19" s="84"/>
      <c r="J19" s="84"/>
      <c r="K19" s="84"/>
      <c r="L19" s="84">
        <v>131766</v>
      </c>
      <c r="M19" s="84">
        <v>231888</v>
      </c>
      <c r="N19" s="84">
        <v>225507</v>
      </c>
      <c r="O19" s="84">
        <v>321957</v>
      </c>
      <c r="P19" s="84">
        <v>257232</v>
      </c>
      <c r="Q19" s="84">
        <v>237205</v>
      </c>
      <c r="R19" s="84">
        <v>276352</v>
      </c>
      <c r="S19" s="84">
        <v>294093</v>
      </c>
      <c r="T19" s="84">
        <v>275409</v>
      </c>
      <c r="U19" s="84">
        <v>213198</v>
      </c>
      <c r="V19" s="84">
        <v>50731</v>
      </c>
      <c r="W19" s="84">
        <v>2614</v>
      </c>
      <c r="X19" s="84">
        <v>466029</v>
      </c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  <c r="AJ19" s="85"/>
      <c r="AK19" s="85"/>
      <c r="AL19" s="85"/>
      <c r="AM19" s="85"/>
    </row>
    <row r="20" spans="1:39" s="13" customFormat="1" ht="19.5" thickBot="1" x14ac:dyDescent="0.35">
      <c r="A20" s="248">
        <v>100</v>
      </c>
      <c r="B20" s="59" t="s">
        <v>193</v>
      </c>
      <c r="C20" s="291">
        <v>701314</v>
      </c>
      <c r="D20" s="274"/>
      <c r="E20" s="106"/>
      <c r="F20" s="106">
        <f t="shared" si="0"/>
        <v>701314</v>
      </c>
      <c r="G20" s="106">
        <f t="shared" si="1"/>
        <v>0</v>
      </c>
      <c r="H20" s="84"/>
      <c r="I20" s="84"/>
      <c r="J20" s="84"/>
      <c r="K20" s="84">
        <v>22065</v>
      </c>
      <c r="L20" s="84">
        <v>40178</v>
      </c>
      <c r="M20" s="84">
        <v>56053</v>
      </c>
      <c r="N20" s="84">
        <v>52634</v>
      </c>
      <c r="O20" s="84">
        <v>69395</v>
      </c>
      <c r="P20" s="84">
        <v>42509</v>
      </c>
      <c r="Q20" s="84">
        <v>48021</v>
      </c>
      <c r="R20" s="84">
        <v>72133</v>
      </c>
      <c r="S20" s="84">
        <f>93559+117927</f>
        <v>211486</v>
      </c>
      <c r="T20" s="84"/>
      <c r="U20" s="84">
        <v>32384</v>
      </c>
      <c r="V20" s="84">
        <f>32385+14042</f>
        <v>46427</v>
      </c>
      <c r="W20" s="84"/>
      <c r="X20" s="84">
        <v>8029</v>
      </c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85"/>
      <c r="AK20" s="85"/>
      <c r="AL20" s="85"/>
      <c r="AM20" s="85"/>
    </row>
    <row r="21" spans="1:39" s="13" customFormat="1" ht="19.5" thickBot="1" x14ac:dyDescent="0.35">
      <c r="A21" s="248">
        <v>110</v>
      </c>
      <c r="B21" s="59" t="s">
        <v>194</v>
      </c>
      <c r="C21" s="291">
        <v>115969</v>
      </c>
      <c r="D21" s="274"/>
      <c r="E21" s="106"/>
      <c r="F21" s="106">
        <f t="shared" si="0"/>
        <v>115969</v>
      </c>
      <c r="G21" s="106">
        <f t="shared" si="1"/>
        <v>0</v>
      </c>
      <c r="H21" s="84"/>
      <c r="I21" s="84"/>
      <c r="J21" s="84"/>
      <c r="K21" s="84"/>
      <c r="L21" s="84"/>
      <c r="M21" s="84"/>
      <c r="N21" s="84"/>
      <c r="O21" s="84"/>
      <c r="P21" s="84">
        <v>94439</v>
      </c>
      <c r="Q21" s="84"/>
      <c r="R21" s="84"/>
      <c r="S21" s="84"/>
      <c r="T21" s="84">
        <v>21530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85"/>
      <c r="AK21" s="85"/>
      <c r="AL21" s="85"/>
      <c r="AM21" s="85"/>
    </row>
    <row r="22" spans="1:39" s="13" customFormat="1" ht="19.5" thickBot="1" x14ac:dyDescent="0.35">
      <c r="A22" s="248">
        <v>120</v>
      </c>
      <c r="B22" s="59" t="s">
        <v>195</v>
      </c>
      <c r="C22" s="291">
        <v>747499</v>
      </c>
      <c r="D22" s="274"/>
      <c r="E22" s="106"/>
      <c r="F22" s="106">
        <f t="shared" si="0"/>
        <v>747499</v>
      </c>
      <c r="G22" s="106">
        <f t="shared" si="1"/>
        <v>0</v>
      </c>
      <c r="H22" s="84"/>
      <c r="I22" s="84"/>
      <c r="J22" s="84"/>
      <c r="K22" s="84">
        <v>14438</v>
      </c>
      <c r="L22" s="84">
        <v>61407</v>
      </c>
      <c r="M22" s="84">
        <v>61478</v>
      </c>
      <c r="N22" s="84">
        <v>58950</v>
      </c>
      <c r="O22" s="84">
        <v>59225</v>
      </c>
      <c r="P22" s="84">
        <v>57170</v>
      </c>
      <c r="Q22" s="84">
        <v>56976</v>
      </c>
      <c r="R22" s="84">
        <v>55465</v>
      </c>
      <c r="S22" s="84">
        <f>97689+83810</f>
        <v>181499</v>
      </c>
      <c r="T22" s="84"/>
      <c r="U22" s="84">
        <v>60820</v>
      </c>
      <c r="V22" s="84"/>
      <c r="W22" s="84"/>
      <c r="X22" s="84">
        <v>48157</v>
      </c>
      <c r="Y22" s="84">
        <v>31914</v>
      </c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J22" s="85"/>
      <c r="AK22" s="85"/>
      <c r="AL22" s="85"/>
      <c r="AM22" s="85"/>
    </row>
    <row r="23" spans="1:39" s="13" customFormat="1" ht="19.5" thickBot="1" x14ac:dyDescent="0.35">
      <c r="A23" s="248">
        <v>123</v>
      </c>
      <c r="B23" s="59" t="s">
        <v>196</v>
      </c>
      <c r="C23" s="291">
        <v>773611</v>
      </c>
      <c r="D23" s="274"/>
      <c r="E23" s="106"/>
      <c r="F23" s="106">
        <f t="shared" si="0"/>
        <v>773611</v>
      </c>
      <c r="G23" s="106">
        <f t="shared" si="1"/>
        <v>0</v>
      </c>
      <c r="H23" s="84"/>
      <c r="I23" s="84"/>
      <c r="J23" s="84"/>
      <c r="K23" s="84"/>
      <c r="L23" s="84"/>
      <c r="M23" s="84"/>
      <c r="N23" s="84">
        <v>153666</v>
      </c>
      <c r="O23" s="84"/>
      <c r="P23" s="84"/>
      <c r="Q23" s="84">
        <v>202576</v>
      </c>
      <c r="R23" s="84"/>
      <c r="S23" s="84"/>
      <c r="T23" s="84">
        <v>234186</v>
      </c>
      <c r="U23" s="84"/>
      <c r="V23" s="84"/>
      <c r="W23" s="84">
        <v>115837</v>
      </c>
      <c r="X23" s="84"/>
      <c r="Y23" s="84"/>
      <c r="Z23" s="84"/>
      <c r="AA23" s="84">
        <v>67346</v>
      </c>
      <c r="AB23" s="84"/>
      <c r="AC23" s="84"/>
      <c r="AD23" s="84"/>
      <c r="AE23" s="84"/>
      <c r="AF23" s="84"/>
      <c r="AG23" s="84"/>
      <c r="AH23" s="84"/>
      <c r="AI23" s="85"/>
      <c r="AJ23" s="85"/>
      <c r="AK23" s="85"/>
      <c r="AL23" s="85"/>
      <c r="AM23" s="85"/>
    </row>
    <row r="24" spans="1:39" s="13" customFormat="1" ht="19.5" thickBot="1" x14ac:dyDescent="0.35">
      <c r="A24" s="248">
        <v>130</v>
      </c>
      <c r="B24" s="59" t="s">
        <v>197</v>
      </c>
      <c r="C24" s="291">
        <v>4256388</v>
      </c>
      <c r="D24" s="274"/>
      <c r="E24" s="106"/>
      <c r="F24" s="106">
        <f t="shared" si="0"/>
        <v>4256388</v>
      </c>
      <c r="G24" s="106">
        <f t="shared" si="1"/>
        <v>0</v>
      </c>
      <c r="H24" s="84"/>
      <c r="I24" s="84"/>
      <c r="J24" s="84"/>
      <c r="K24" s="84"/>
      <c r="L24" s="84"/>
      <c r="M24" s="84"/>
      <c r="N24" s="84"/>
      <c r="O24" s="84"/>
      <c r="P24" s="84">
        <v>794724</v>
      </c>
      <c r="Q24" s="84">
        <v>292515</v>
      </c>
      <c r="R24" s="84">
        <v>342230</v>
      </c>
      <c r="S24" s="84">
        <v>347035</v>
      </c>
      <c r="T24" s="84"/>
      <c r="U24" s="84"/>
      <c r="V24" s="84"/>
      <c r="W24" s="84"/>
      <c r="X24" s="84"/>
      <c r="Y24" s="84">
        <v>1033895</v>
      </c>
      <c r="Z24" s="84">
        <f>1140100+72975</f>
        <v>1213075</v>
      </c>
      <c r="AA24" s="84">
        <v>232914</v>
      </c>
      <c r="AB24" s="84"/>
      <c r="AC24" s="84"/>
      <c r="AD24" s="84"/>
      <c r="AE24" s="84"/>
      <c r="AF24" s="84"/>
      <c r="AG24" s="84"/>
      <c r="AH24" s="84"/>
      <c r="AI24" s="85"/>
      <c r="AJ24" s="85"/>
      <c r="AK24" s="85"/>
      <c r="AL24" s="85"/>
      <c r="AM24" s="85"/>
    </row>
    <row r="25" spans="1:39" s="13" customFormat="1" ht="19.5" thickBot="1" x14ac:dyDescent="0.35">
      <c r="A25" s="248">
        <v>140</v>
      </c>
      <c r="B25" s="59" t="s">
        <v>198</v>
      </c>
      <c r="C25" s="291">
        <v>1222056</v>
      </c>
      <c r="D25" s="274"/>
      <c r="E25" s="106"/>
      <c r="F25" s="106">
        <f t="shared" si="0"/>
        <v>1222056</v>
      </c>
      <c r="G25" s="106">
        <f t="shared" si="1"/>
        <v>0</v>
      </c>
      <c r="H25" s="84"/>
      <c r="I25" s="84"/>
      <c r="J25" s="84"/>
      <c r="K25" s="84"/>
      <c r="L25" s="84"/>
      <c r="M25" s="84"/>
      <c r="N25" s="84"/>
      <c r="O25" s="84"/>
      <c r="P25" s="84">
        <v>692212</v>
      </c>
      <c r="Q25" s="84">
        <v>113673</v>
      </c>
      <c r="R25" s="84"/>
      <c r="S25" s="84">
        <v>221311</v>
      </c>
      <c r="T25" s="84"/>
      <c r="U25" s="84">
        <v>183997</v>
      </c>
      <c r="V25" s="84"/>
      <c r="W25" s="84"/>
      <c r="X25" s="84"/>
      <c r="Y25" s="84">
        <v>10863</v>
      </c>
      <c r="Z25" s="84"/>
      <c r="AA25" s="84"/>
      <c r="AB25" s="84"/>
      <c r="AC25" s="84"/>
      <c r="AD25" s="84"/>
      <c r="AE25" s="84"/>
      <c r="AF25" s="84"/>
      <c r="AG25" s="84"/>
      <c r="AH25" s="84"/>
      <c r="AI25" s="85"/>
      <c r="AJ25" s="85"/>
      <c r="AK25" s="85"/>
      <c r="AL25" s="85"/>
      <c r="AM25" s="85"/>
    </row>
    <row r="26" spans="1:39" s="13" customFormat="1" ht="19.5" thickBot="1" x14ac:dyDescent="0.35">
      <c r="A26" s="248">
        <v>170</v>
      </c>
      <c r="B26" s="59" t="s">
        <v>199</v>
      </c>
      <c r="C26" s="291">
        <v>23320</v>
      </c>
      <c r="D26" s="274">
        <v>9025</v>
      </c>
      <c r="E26" s="106">
        <f>IF(ISBLANK(D26),,C26)</f>
        <v>23320</v>
      </c>
      <c r="F26" s="106">
        <f t="shared" si="0"/>
        <v>0</v>
      </c>
      <c r="G26" s="106">
        <f t="shared" si="1"/>
        <v>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  <c r="AJ26" s="85"/>
      <c r="AK26" s="85"/>
      <c r="AL26" s="85"/>
      <c r="AM26" s="85"/>
    </row>
    <row r="27" spans="1:39" s="13" customFormat="1" ht="19.5" thickBot="1" x14ac:dyDescent="0.35">
      <c r="A27" s="248">
        <v>180</v>
      </c>
      <c r="B27" s="59" t="s">
        <v>200</v>
      </c>
      <c r="C27" s="291">
        <v>10477109</v>
      </c>
      <c r="D27" s="274"/>
      <c r="E27" s="106"/>
      <c r="F27" s="106">
        <f t="shared" si="0"/>
        <v>10477109</v>
      </c>
      <c r="G27" s="106">
        <f t="shared" si="1"/>
        <v>0</v>
      </c>
      <c r="H27" s="84"/>
      <c r="I27" s="84"/>
      <c r="J27" s="84"/>
      <c r="K27" s="84"/>
      <c r="L27" s="84">
        <v>488243</v>
      </c>
      <c r="M27" s="84">
        <v>681690</v>
      </c>
      <c r="N27" s="84"/>
      <c r="O27" s="84">
        <v>1813333</v>
      </c>
      <c r="P27" s="84">
        <v>1005662</v>
      </c>
      <c r="Q27" s="84">
        <v>856510</v>
      </c>
      <c r="R27" s="84">
        <v>855219</v>
      </c>
      <c r="S27" s="84">
        <f>809494+880165</f>
        <v>1689659</v>
      </c>
      <c r="T27" s="84"/>
      <c r="U27" s="84">
        <v>1100047</v>
      </c>
      <c r="V27" s="84">
        <v>74650</v>
      </c>
      <c r="W27" s="84">
        <v>50011</v>
      </c>
      <c r="X27" s="84">
        <v>1862085</v>
      </c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J27" s="85"/>
      <c r="AK27" s="85"/>
      <c r="AL27" s="85"/>
      <c r="AM27" s="85"/>
    </row>
    <row r="28" spans="1:39" s="13" customFormat="1" ht="19.5" thickBot="1" x14ac:dyDescent="0.35">
      <c r="A28" s="248">
        <v>190</v>
      </c>
      <c r="B28" s="59" t="s">
        <v>201</v>
      </c>
      <c r="C28" s="291">
        <v>56269</v>
      </c>
      <c r="D28" s="274">
        <v>9025</v>
      </c>
      <c r="E28" s="106">
        <f>IF(ISBLANK(D28),,C28)</f>
        <v>56269</v>
      </c>
      <c r="F28" s="106">
        <f t="shared" si="0"/>
        <v>0</v>
      </c>
      <c r="G28" s="106">
        <f t="shared" si="1"/>
        <v>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  <c r="AJ28" s="85"/>
      <c r="AK28" s="85"/>
      <c r="AL28" s="85"/>
      <c r="AM28" s="85"/>
    </row>
    <row r="29" spans="1:39" s="13" customFormat="1" ht="19.5" thickBot="1" x14ac:dyDescent="0.35">
      <c r="A29" s="248">
        <v>220</v>
      </c>
      <c r="B29" s="59" t="s">
        <v>202</v>
      </c>
      <c r="C29" s="291">
        <v>338928</v>
      </c>
      <c r="D29" s="274"/>
      <c r="E29" s="106"/>
      <c r="F29" s="106">
        <f t="shared" si="0"/>
        <v>338928</v>
      </c>
      <c r="G29" s="106">
        <f t="shared" si="1"/>
        <v>0</v>
      </c>
      <c r="H29" s="84"/>
      <c r="I29" s="84"/>
      <c r="J29" s="84"/>
      <c r="K29" s="84">
        <v>74533</v>
      </c>
      <c r="L29" s="84"/>
      <c r="M29" s="84"/>
      <c r="N29" s="84">
        <v>55858</v>
      </c>
      <c r="O29" s="84">
        <f>28981+27515</f>
        <v>56496</v>
      </c>
      <c r="P29" s="84">
        <v>27570</v>
      </c>
      <c r="Q29" s="84">
        <v>27356</v>
      </c>
      <c r="R29" s="84">
        <v>29085</v>
      </c>
      <c r="S29" s="84">
        <v>30588</v>
      </c>
      <c r="T29" s="84">
        <v>28776</v>
      </c>
      <c r="U29" s="84"/>
      <c r="V29" s="84"/>
      <c r="W29" s="84"/>
      <c r="X29" s="84">
        <v>8666</v>
      </c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  <c r="AJ29" s="85"/>
      <c r="AK29" s="85"/>
      <c r="AL29" s="85"/>
      <c r="AM29" s="85"/>
    </row>
    <row r="30" spans="1:39" s="13" customFormat="1" ht="19.5" thickBot="1" x14ac:dyDescent="0.35">
      <c r="A30" s="248">
        <v>230</v>
      </c>
      <c r="B30" s="59" t="s">
        <v>203</v>
      </c>
      <c r="C30" s="291">
        <v>41493</v>
      </c>
      <c r="D30" s="274"/>
      <c r="E30" s="106"/>
      <c r="F30" s="106">
        <f t="shared" si="0"/>
        <v>41493</v>
      </c>
      <c r="G30" s="106">
        <f t="shared" si="1"/>
        <v>0</v>
      </c>
      <c r="H30" s="84"/>
      <c r="I30" s="84"/>
      <c r="J30" s="84"/>
      <c r="K30" s="84"/>
      <c r="L30" s="84">
        <v>15983</v>
      </c>
      <c r="M30" s="84"/>
      <c r="N30" s="84"/>
      <c r="O30" s="84"/>
      <c r="P30" s="84"/>
      <c r="Q30" s="84"/>
      <c r="R30" s="84"/>
      <c r="S30" s="84"/>
      <c r="T30" s="84">
        <v>15968</v>
      </c>
      <c r="U30" s="84"/>
      <c r="V30" s="84"/>
      <c r="W30" s="84"/>
      <c r="X30" s="84"/>
      <c r="Y30" s="84">
        <v>9542</v>
      </c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J30" s="85"/>
      <c r="AK30" s="85"/>
      <c r="AL30" s="85"/>
      <c r="AM30" s="85"/>
    </row>
    <row r="31" spans="1:39" s="13" customFormat="1" ht="19.5" thickBot="1" x14ac:dyDescent="0.35">
      <c r="A31" s="248">
        <v>240</v>
      </c>
      <c r="B31" s="59" t="s">
        <v>204</v>
      </c>
      <c r="C31" s="291">
        <v>15121</v>
      </c>
      <c r="D31" s="274"/>
      <c r="E31" s="106"/>
      <c r="F31" s="106">
        <f t="shared" si="0"/>
        <v>15121</v>
      </c>
      <c r="G31" s="106">
        <f t="shared" si="1"/>
        <v>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>
        <v>14219</v>
      </c>
      <c r="AD31" s="84">
        <v>902</v>
      </c>
      <c r="AE31" s="84"/>
      <c r="AF31" s="84"/>
      <c r="AG31" s="84"/>
      <c r="AH31" s="84"/>
      <c r="AI31" s="85"/>
      <c r="AJ31" s="85"/>
      <c r="AK31" s="85"/>
      <c r="AL31" s="85"/>
      <c r="AM31" s="85"/>
    </row>
    <row r="32" spans="1:39" s="13" customFormat="1" ht="19.5" thickBot="1" x14ac:dyDescent="0.35">
      <c r="A32" s="248">
        <v>250</v>
      </c>
      <c r="B32" s="59" t="s">
        <v>205</v>
      </c>
      <c r="C32" s="291">
        <v>71854</v>
      </c>
      <c r="D32" s="274"/>
      <c r="E32" s="106"/>
      <c r="F32" s="106">
        <f t="shared" si="0"/>
        <v>71854</v>
      </c>
      <c r="G32" s="106">
        <f t="shared" si="1"/>
        <v>0</v>
      </c>
      <c r="H32" s="84"/>
      <c r="I32" s="84"/>
      <c r="J32" s="84"/>
      <c r="K32" s="84"/>
      <c r="L32" s="84"/>
      <c r="M32" s="84"/>
      <c r="N32" s="84"/>
      <c r="O32" s="84">
        <v>26136</v>
      </c>
      <c r="P32" s="84"/>
      <c r="Q32" s="84"/>
      <c r="R32" s="84"/>
      <c r="S32" s="84">
        <f>22283+4971</f>
        <v>27254</v>
      </c>
      <c r="T32" s="84"/>
      <c r="U32" s="84"/>
      <c r="V32" s="84"/>
      <c r="W32" s="84"/>
      <c r="X32" s="84"/>
      <c r="Y32" s="84">
        <v>18464</v>
      </c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J32" s="85"/>
      <c r="AK32" s="85"/>
      <c r="AL32" s="85"/>
      <c r="AM32" s="85"/>
    </row>
    <row r="33" spans="1:39" s="13" customFormat="1" ht="19.5" thickBot="1" x14ac:dyDescent="0.35">
      <c r="A33" s="248">
        <v>260</v>
      </c>
      <c r="B33" s="59" t="s">
        <v>206</v>
      </c>
      <c r="C33" s="291">
        <v>1005</v>
      </c>
      <c r="D33" s="274"/>
      <c r="E33" s="106"/>
      <c r="F33" s="106">
        <f t="shared" si="0"/>
        <v>1005</v>
      </c>
      <c r="G33" s="106">
        <f t="shared" si="1"/>
        <v>0</v>
      </c>
      <c r="H33" s="84"/>
      <c r="I33" s="84"/>
      <c r="J33" s="84"/>
      <c r="K33" s="84"/>
      <c r="L33" s="84"/>
      <c r="M33" s="84"/>
      <c r="N33" s="84"/>
      <c r="O33" s="84"/>
      <c r="P33" s="84">
        <v>1005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  <c r="AJ33" s="85"/>
      <c r="AK33" s="85"/>
      <c r="AL33" s="85"/>
      <c r="AM33" s="85"/>
    </row>
    <row r="34" spans="1:39" s="13" customFormat="1" ht="19.5" thickBot="1" x14ac:dyDescent="0.35">
      <c r="A34" s="248">
        <v>270</v>
      </c>
      <c r="B34" s="59" t="s">
        <v>207</v>
      </c>
      <c r="C34" s="291">
        <v>2215</v>
      </c>
      <c r="D34" s="274"/>
      <c r="E34" s="106"/>
      <c r="F34" s="106">
        <f t="shared" si="0"/>
        <v>2215</v>
      </c>
      <c r="G34" s="106">
        <f t="shared" si="1"/>
        <v>0</v>
      </c>
      <c r="H34" s="84"/>
      <c r="I34" s="84"/>
      <c r="J34" s="84"/>
      <c r="K34" s="84"/>
      <c r="L34" s="84"/>
      <c r="M34" s="84"/>
      <c r="N34" s="84"/>
      <c r="O34" s="84"/>
      <c r="P34" s="84"/>
      <c r="Q34" s="84">
        <v>2215</v>
      </c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  <c r="AJ34" s="85"/>
      <c r="AK34" s="85"/>
      <c r="AL34" s="85"/>
      <c r="AM34" s="85"/>
    </row>
    <row r="35" spans="1:39" s="13" customFormat="1" ht="19.5" thickBot="1" x14ac:dyDescent="0.35">
      <c r="A35" s="248">
        <v>290</v>
      </c>
      <c r="B35" s="59" t="s">
        <v>208</v>
      </c>
      <c r="C35" s="291">
        <v>244368</v>
      </c>
      <c r="D35" s="274"/>
      <c r="E35" s="106"/>
      <c r="F35" s="106">
        <f t="shared" si="0"/>
        <v>244368</v>
      </c>
      <c r="G35" s="106">
        <f t="shared" si="1"/>
        <v>0</v>
      </c>
      <c r="H35" s="84"/>
      <c r="I35" s="84"/>
      <c r="J35" s="84"/>
      <c r="K35" s="84"/>
      <c r="L35" s="84">
        <v>59765</v>
      </c>
      <c r="M35" s="84"/>
      <c r="N35" s="84"/>
      <c r="O35" s="84"/>
      <c r="P35" s="84">
        <v>94569</v>
      </c>
      <c r="Q35" s="84"/>
      <c r="R35" s="84"/>
      <c r="S35" s="84">
        <v>89833</v>
      </c>
      <c r="T35" s="84"/>
      <c r="U35" s="84"/>
      <c r="V35" s="84"/>
      <c r="W35" s="84"/>
      <c r="X35" s="84"/>
      <c r="Y35" s="84"/>
      <c r="Z35" s="84">
        <v>201</v>
      </c>
      <c r="AA35" s="84"/>
      <c r="AB35" s="84"/>
      <c r="AC35" s="84"/>
      <c r="AD35" s="84"/>
      <c r="AE35" s="84"/>
      <c r="AF35" s="84"/>
      <c r="AG35" s="84"/>
      <c r="AH35" s="84"/>
      <c r="AI35" s="85"/>
      <c r="AJ35" s="85"/>
      <c r="AK35" s="85"/>
      <c r="AL35" s="85"/>
      <c r="AM35" s="85"/>
    </row>
    <row r="36" spans="1:39" s="13" customFormat="1" ht="19.5" thickBot="1" x14ac:dyDescent="0.35">
      <c r="A36" s="248">
        <v>310</v>
      </c>
      <c r="B36" s="59" t="s">
        <v>209</v>
      </c>
      <c r="C36" s="291">
        <v>31898</v>
      </c>
      <c r="D36" s="274"/>
      <c r="E36" s="106"/>
      <c r="F36" s="106">
        <f t="shared" si="0"/>
        <v>31898</v>
      </c>
      <c r="G36" s="106">
        <f t="shared" si="1"/>
        <v>0</v>
      </c>
      <c r="H36" s="84"/>
      <c r="I36" s="84"/>
      <c r="J36" s="84"/>
      <c r="K36" s="84"/>
      <c r="L36" s="84"/>
      <c r="M36" s="84"/>
      <c r="N36" s="84"/>
      <c r="O36" s="84">
        <v>22296</v>
      </c>
      <c r="P36" s="84"/>
      <c r="Q36" s="84"/>
      <c r="R36" s="84"/>
      <c r="S36" s="84">
        <v>9602</v>
      </c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J36" s="85"/>
      <c r="AK36" s="85"/>
      <c r="AL36" s="85"/>
      <c r="AM36" s="85"/>
    </row>
    <row r="37" spans="1:39" s="13" customFormat="1" ht="19.5" thickBot="1" x14ac:dyDescent="0.35">
      <c r="A37" s="248">
        <v>470</v>
      </c>
      <c r="B37" s="59" t="s">
        <v>210</v>
      </c>
      <c r="C37" s="291">
        <v>2550914</v>
      </c>
      <c r="D37" s="274"/>
      <c r="E37" s="106"/>
      <c r="F37" s="106">
        <f t="shared" si="0"/>
        <v>2550914</v>
      </c>
      <c r="G37" s="106">
        <f t="shared" si="1"/>
        <v>0</v>
      </c>
      <c r="H37" s="84"/>
      <c r="I37" s="84"/>
      <c r="J37" s="84"/>
      <c r="K37" s="84"/>
      <c r="L37" s="84">
        <v>386050</v>
      </c>
      <c r="M37" s="84"/>
      <c r="N37" s="84">
        <v>199452</v>
      </c>
      <c r="O37" s="84">
        <v>237191</v>
      </c>
      <c r="P37" s="84">
        <v>194296</v>
      </c>
      <c r="Q37" s="84">
        <v>197631</v>
      </c>
      <c r="R37" s="84">
        <v>212737</v>
      </c>
      <c r="S37" s="84">
        <v>187547</v>
      </c>
      <c r="T37" s="84"/>
      <c r="U37" s="84"/>
      <c r="V37" s="84"/>
      <c r="W37" s="84">
        <v>700047</v>
      </c>
      <c r="X37" s="84"/>
      <c r="Y37" s="84"/>
      <c r="Z37" s="84"/>
      <c r="AA37" s="84">
        <v>235963</v>
      </c>
      <c r="AB37" s="84"/>
      <c r="AC37" s="84"/>
      <c r="AD37" s="84"/>
      <c r="AE37" s="84"/>
      <c r="AF37" s="84"/>
      <c r="AG37" s="84"/>
      <c r="AH37" s="84"/>
      <c r="AI37" s="85"/>
      <c r="AJ37" s="85"/>
      <c r="AK37" s="85"/>
      <c r="AL37" s="85"/>
      <c r="AM37" s="85"/>
    </row>
    <row r="38" spans="1:39" s="13" customFormat="1" ht="19.5" thickBot="1" x14ac:dyDescent="0.35">
      <c r="A38" s="248">
        <v>480</v>
      </c>
      <c r="B38" s="59" t="s">
        <v>211</v>
      </c>
      <c r="C38" s="291">
        <v>2425984</v>
      </c>
      <c r="D38" s="274"/>
      <c r="E38" s="106"/>
      <c r="F38" s="106">
        <f t="shared" si="0"/>
        <v>2425984</v>
      </c>
      <c r="G38" s="106">
        <f t="shared" si="1"/>
        <v>0</v>
      </c>
      <c r="H38" s="84"/>
      <c r="I38" s="84"/>
      <c r="J38" s="84"/>
      <c r="K38" s="84"/>
      <c r="L38" s="84">
        <f>506957+164607</f>
        <v>671564</v>
      </c>
      <c r="M38" s="84">
        <v>183035</v>
      </c>
      <c r="N38" s="84">
        <v>184713</v>
      </c>
      <c r="O38" s="84">
        <v>176321</v>
      </c>
      <c r="P38" s="84">
        <v>179852</v>
      </c>
      <c r="Q38" s="84">
        <v>187506</v>
      </c>
      <c r="R38" s="84">
        <v>200558</v>
      </c>
      <c r="S38" s="84">
        <v>184806</v>
      </c>
      <c r="T38" s="84">
        <v>177928</v>
      </c>
      <c r="U38" s="84">
        <v>150256</v>
      </c>
      <c r="V38" s="84">
        <f>8482+120963</f>
        <v>129445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  <c r="AJ38" s="85"/>
      <c r="AK38" s="85"/>
      <c r="AL38" s="85"/>
      <c r="AM38" s="85"/>
    </row>
    <row r="39" spans="1:39" s="13" customFormat="1" ht="19.5" thickBot="1" x14ac:dyDescent="0.35">
      <c r="A39" s="248">
        <v>490</v>
      </c>
      <c r="B39" s="59" t="s">
        <v>212</v>
      </c>
      <c r="C39" s="291">
        <v>113997</v>
      </c>
      <c r="D39" s="274"/>
      <c r="E39" s="106"/>
      <c r="F39" s="106">
        <f t="shared" si="0"/>
        <v>113997</v>
      </c>
      <c r="G39" s="106">
        <f t="shared" si="1"/>
        <v>0</v>
      </c>
      <c r="H39" s="84"/>
      <c r="I39" s="84"/>
      <c r="J39" s="84"/>
      <c r="K39" s="84"/>
      <c r="L39" s="84"/>
      <c r="M39" s="84"/>
      <c r="N39" s="84">
        <v>63205</v>
      </c>
      <c r="O39" s="84"/>
      <c r="P39" s="84"/>
      <c r="Q39" s="84"/>
      <c r="R39" s="84">
        <v>50792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5"/>
      <c r="AJ39" s="85"/>
      <c r="AK39" s="85"/>
      <c r="AL39" s="85"/>
      <c r="AM39" s="85"/>
    </row>
    <row r="40" spans="1:39" s="13" customFormat="1" ht="19.5" thickBot="1" x14ac:dyDescent="0.35">
      <c r="A40" s="248">
        <v>500</v>
      </c>
      <c r="B40" s="59" t="s">
        <v>213</v>
      </c>
      <c r="C40" s="291">
        <v>186986</v>
      </c>
      <c r="D40" s="274"/>
      <c r="E40" s="106"/>
      <c r="F40" s="106">
        <f t="shared" si="0"/>
        <v>186986</v>
      </c>
      <c r="G40" s="106">
        <f t="shared" si="1"/>
        <v>0</v>
      </c>
      <c r="H40" s="84"/>
      <c r="I40" s="84"/>
      <c r="J40" s="84"/>
      <c r="K40" s="84">
        <v>7460</v>
      </c>
      <c r="L40" s="84">
        <v>19862</v>
      </c>
      <c r="M40" s="84">
        <v>19204</v>
      </c>
      <c r="N40" s="84">
        <v>21874</v>
      </c>
      <c r="O40" s="84">
        <v>19902</v>
      </c>
      <c r="P40" s="84">
        <v>21247</v>
      </c>
      <c r="Q40" s="84">
        <v>19882</v>
      </c>
      <c r="R40" s="84">
        <v>19890</v>
      </c>
      <c r="S40" s="84">
        <f>19834+17111</f>
        <v>36945</v>
      </c>
      <c r="T40" s="84"/>
      <c r="U40" s="84"/>
      <c r="V40" s="84"/>
      <c r="W40" s="84"/>
      <c r="X40" s="84"/>
      <c r="Y40" s="84">
        <v>720</v>
      </c>
      <c r="Z40" s="84"/>
      <c r="AA40" s="84"/>
      <c r="AB40" s="84"/>
      <c r="AC40" s="84"/>
      <c r="AD40" s="84"/>
      <c r="AE40" s="84"/>
      <c r="AF40" s="84"/>
      <c r="AG40" s="84"/>
      <c r="AH40" s="84"/>
      <c r="AI40" s="85"/>
      <c r="AJ40" s="85"/>
      <c r="AK40" s="85"/>
      <c r="AL40" s="85"/>
      <c r="AM40" s="85"/>
    </row>
    <row r="41" spans="1:39" s="13" customFormat="1" ht="19.5" thickBot="1" x14ac:dyDescent="0.35">
      <c r="A41" s="248">
        <v>510</v>
      </c>
      <c r="B41" s="294" t="s">
        <v>395</v>
      </c>
      <c r="C41" s="291">
        <v>18471</v>
      </c>
      <c r="D41" s="274"/>
      <c r="E41" s="106"/>
      <c r="F41" s="106">
        <f t="shared" si="0"/>
        <v>0</v>
      </c>
      <c r="G41" s="106">
        <f t="shared" si="1"/>
        <v>18471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5"/>
      <c r="AJ41" s="85"/>
      <c r="AK41" s="85"/>
      <c r="AL41" s="85"/>
      <c r="AM41" s="85"/>
    </row>
    <row r="42" spans="1:39" s="13" customFormat="1" ht="19.5" thickBot="1" x14ac:dyDescent="0.35">
      <c r="A42" s="248">
        <v>520</v>
      </c>
      <c r="B42" s="268" t="s">
        <v>215</v>
      </c>
      <c r="C42" s="291">
        <v>36587</v>
      </c>
      <c r="D42" s="274">
        <v>9025</v>
      </c>
      <c r="E42" s="106">
        <f>IF(ISBLANK(D42),,C42)</f>
        <v>36587</v>
      </c>
      <c r="F42" s="106">
        <f t="shared" si="0"/>
        <v>0</v>
      </c>
      <c r="G42" s="106">
        <f t="shared" si="1"/>
        <v>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5"/>
      <c r="AJ42" s="85"/>
      <c r="AK42" s="85"/>
      <c r="AL42" s="85"/>
      <c r="AM42" s="85"/>
    </row>
    <row r="43" spans="1:39" s="13" customFormat="1" ht="19.5" thickBot="1" x14ac:dyDescent="0.35">
      <c r="A43" s="248">
        <v>540</v>
      </c>
      <c r="B43" s="59" t="s">
        <v>216</v>
      </c>
      <c r="C43" s="291">
        <v>88967</v>
      </c>
      <c r="D43" s="274"/>
      <c r="E43" s="106"/>
      <c r="F43" s="106">
        <f t="shared" si="0"/>
        <v>88967</v>
      </c>
      <c r="G43" s="106">
        <f t="shared" si="1"/>
        <v>0</v>
      </c>
      <c r="H43" s="84"/>
      <c r="I43" s="84"/>
      <c r="J43" s="84"/>
      <c r="K43" s="84"/>
      <c r="L43" s="84"/>
      <c r="M43" s="84"/>
      <c r="N43" s="84">
        <v>13614</v>
      </c>
      <c r="O43" s="84"/>
      <c r="P43" s="84"/>
      <c r="Q43" s="84">
        <v>25582</v>
      </c>
      <c r="R43" s="84"/>
      <c r="S43" s="84"/>
      <c r="T43" s="84"/>
      <c r="U43" s="84"/>
      <c r="V43" s="84">
        <v>35214</v>
      </c>
      <c r="W43" s="84"/>
      <c r="X43" s="84"/>
      <c r="Y43" s="84"/>
      <c r="Z43" s="84">
        <v>14557</v>
      </c>
      <c r="AA43" s="84"/>
      <c r="AB43" s="84"/>
      <c r="AC43" s="84"/>
      <c r="AD43" s="84"/>
      <c r="AE43" s="84"/>
      <c r="AF43" s="84"/>
      <c r="AG43" s="84"/>
      <c r="AH43" s="84"/>
      <c r="AI43" s="85"/>
      <c r="AJ43" s="85"/>
      <c r="AK43" s="85"/>
      <c r="AL43" s="85"/>
      <c r="AM43" s="85"/>
    </row>
    <row r="44" spans="1:39" s="13" customFormat="1" ht="19.5" thickBot="1" x14ac:dyDescent="0.35">
      <c r="A44" s="248">
        <v>550</v>
      </c>
      <c r="B44" s="59" t="s">
        <v>217</v>
      </c>
      <c r="C44" s="291">
        <v>250705</v>
      </c>
      <c r="D44" s="274"/>
      <c r="E44" s="106"/>
      <c r="F44" s="106">
        <f t="shared" si="0"/>
        <v>250705</v>
      </c>
      <c r="G44" s="106">
        <f t="shared" si="1"/>
        <v>0</v>
      </c>
      <c r="H44" s="84"/>
      <c r="I44" s="84"/>
      <c r="J44" s="84"/>
      <c r="K44" s="84"/>
      <c r="L44" s="84">
        <v>5023</v>
      </c>
      <c r="M44" s="84">
        <v>24921</v>
      </c>
      <c r="N44" s="84"/>
      <c r="O44" s="84">
        <v>51298</v>
      </c>
      <c r="P44" s="84"/>
      <c r="Q44" s="84">
        <v>55360</v>
      </c>
      <c r="R44" s="84">
        <v>31113</v>
      </c>
      <c r="S44" s="84">
        <v>23701</v>
      </c>
      <c r="T44" s="84">
        <v>13169</v>
      </c>
      <c r="U44" s="84">
        <v>17890</v>
      </c>
      <c r="V44" s="84">
        <v>27410</v>
      </c>
      <c r="W44" s="84">
        <v>820</v>
      </c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5"/>
      <c r="AJ44" s="85"/>
      <c r="AK44" s="85"/>
      <c r="AL44" s="85"/>
      <c r="AM44" s="85"/>
    </row>
    <row r="45" spans="1:39" s="13" customFormat="1" ht="19.5" thickBot="1" x14ac:dyDescent="0.35">
      <c r="A45" s="248">
        <v>560</v>
      </c>
      <c r="B45" s="59" t="s">
        <v>218</v>
      </c>
      <c r="C45" s="291">
        <v>61749</v>
      </c>
      <c r="D45" s="274"/>
      <c r="E45" s="106"/>
      <c r="F45" s="106">
        <f t="shared" ref="F45:F76" si="2">SUM(H45:AH45)</f>
        <v>61749</v>
      </c>
      <c r="G45" s="106">
        <f t="shared" ref="G45:G76" si="3">IF(ISBLANK(E45),C45-F45,C45-E45)</f>
        <v>0</v>
      </c>
      <c r="H45" s="84"/>
      <c r="I45" s="84"/>
      <c r="J45" s="84"/>
      <c r="K45" s="84"/>
      <c r="L45" s="84"/>
      <c r="M45" s="84"/>
      <c r="N45" s="84">
        <v>42775</v>
      </c>
      <c r="O45" s="84"/>
      <c r="P45" s="84"/>
      <c r="Q45" s="84"/>
      <c r="R45" s="84"/>
      <c r="S45" s="84">
        <v>17324</v>
      </c>
      <c r="T45" s="84"/>
      <c r="U45" s="84"/>
      <c r="V45" s="84"/>
      <c r="W45" s="84"/>
      <c r="X45" s="84"/>
      <c r="Y45" s="84"/>
      <c r="Z45" s="84">
        <v>1650</v>
      </c>
      <c r="AA45" s="84"/>
      <c r="AB45" s="84"/>
      <c r="AC45" s="84"/>
      <c r="AD45" s="84"/>
      <c r="AE45" s="84"/>
      <c r="AF45" s="84"/>
      <c r="AG45" s="84"/>
      <c r="AH45" s="84"/>
      <c r="AI45" s="85"/>
      <c r="AJ45" s="85"/>
      <c r="AK45" s="85"/>
      <c r="AL45" s="85"/>
      <c r="AM45" s="85"/>
    </row>
    <row r="46" spans="1:39" s="13" customFormat="1" ht="19.5" thickBot="1" x14ac:dyDescent="0.35">
      <c r="A46" s="248">
        <v>580</v>
      </c>
      <c r="B46" s="59" t="s">
        <v>219</v>
      </c>
      <c r="C46" s="291">
        <v>169595</v>
      </c>
      <c r="D46" s="274"/>
      <c r="E46" s="106"/>
      <c r="F46" s="106">
        <f t="shared" si="2"/>
        <v>169595</v>
      </c>
      <c r="G46" s="106">
        <f t="shared" si="3"/>
        <v>0</v>
      </c>
      <c r="H46" s="84"/>
      <c r="I46" s="84"/>
      <c r="J46" s="84"/>
      <c r="K46" s="84"/>
      <c r="L46" s="84"/>
      <c r="M46" s="84"/>
      <c r="N46" s="84">
        <v>11485</v>
      </c>
      <c r="O46" s="84"/>
      <c r="P46" s="84">
        <v>62236</v>
      </c>
      <c r="Q46" s="84"/>
      <c r="R46" s="84">
        <v>33455</v>
      </c>
      <c r="S46" s="84">
        <v>16862</v>
      </c>
      <c r="T46" s="84">
        <v>28653</v>
      </c>
      <c r="U46" s="84">
        <v>16904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5"/>
      <c r="AJ46" s="85"/>
      <c r="AK46" s="85"/>
      <c r="AL46" s="85"/>
      <c r="AM46" s="85"/>
    </row>
    <row r="47" spans="1:39" s="13" customFormat="1" ht="19.5" thickBot="1" x14ac:dyDescent="0.35">
      <c r="A47" s="248">
        <v>640</v>
      </c>
      <c r="B47" s="61" t="s">
        <v>220</v>
      </c>
      <c r="C47" s="291">
        <v>141602</v>
      </c>
      <c r="D47" s="274"/>
      <c r="E47" s="106"/>
      <c r="F47" s="106">
        <f t="shared" si="2"/>
        <v>141602</v>
      </c>
      <c r="G47" s="106">
        <f t="shared" si="3"/>
        <v>0</v>
      </c>
      <c r="H47" s="84"/>
      <c r="I47" s="84"/>
      <c r="J47" s="84"/>
      <c r="K47" s="84"/>
      <c r="L47" s="84"/>
      <c r="M47" s="84"/>
      <c r="N47" s="84"/>
      <c r="O47" s="84"/>
      <c r="P47" s="84"/>
      <c r="Q47" s="84">
        <v>8199</v>
      </c>
      <c r="R47" s="84">
        <v>9031</v>
      </c>
      <c r="S47" s="84">
        <f>8009+29764</f>
        <v>37773</v>
      </c>
      <c r="T47" s="84"/>
      <c r="U47" s="84"/>
      <c r="V47" s="84"/>
      <c r="W47" s="84"/>
      <c r="X47" s="84"/>
      <c r="Y47" s="84">
        <v>47370</v>
      </c>
      <c r="Z47" s="84">
        <v>26859</v>
      </c>
      <c r="AA47" s="84"/>
      <c r="AB47" s="84">
        <v>12370</v>
      </c>
      <c r="AC47" s="84"/>
      <c r="AD47" s="84"/>
      <c r="AE47" s="84"/>
      <c r="AF47" s="84"/>
      <c r="AG47" s="84"/>
      <c r="AH47" s="84"/>
      <c r="AI47" s="85"/>
      <c r="AJ47" s="85"/>
      <c r="AK47" s="85"/>
      <c r="AL47" s="85"/>
      <c r="AM47" s="85"/>
    </row>
    <row r="48" spans="1:39" s="13" customFormat="1" ht="19.5" thickBot="1" x14ac:dyDescent="0.35">
      <c r="A48" s="248">
        <v>740</v>
      </c>
      <c r="B48" s="59" t="s">
        <v>221</v>
      </c>
      <c r="C48" s="291">
        <v>114304</v>
      </c>
      <c r="D48" s="274"/>
      <c r="E48" s="106"/>
      <c r="F48" s="106">
        <f t="shared" si="2"/>
        <v>114304</v>
      </c>
      <c r="G48" s="106">
        <f t="shared" si="3"/>
        <v>0</v>
      </c>
      <c r="H48" s="84"/>
      <c r="I48" s="84"/>
      <c r="J48" s="84"/>
      <c r="K48" s="84"/>
      <c r="L48" s="84"/>
      <c r="M48" s="84">
        <v>26264</v>
      </c>
      <c r="N48" s="84"/>
      <c r="O48" s="84">
        <v>15976</v>
      </c>
      <c r="P48" s="84">
        <v>8054</v>
      </c>
      <c r="Q48" s="84"/>
      <c r="R48" s="84">
        <v>16110</v>
      </c>
      <c r="S48" s="84"/>
      <c r="T48" s="84">
        <v>17032</v>
      </c>
      <c r="U48" s="84"/>
      <c r="V48" s="84"/>
      <c r="W48" s="84"/>
      <c r="X48" s="84">
        <v>30868</v>
      </c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5"/>
      <c r="AJ48" s="85"/>
      <c r="AK48" s="85"/>
      <c r="AL48" s="85"/>
      <c r="AM48" s="85"/>
    </row>
    <row r="49" spans="1:39" s="13" customFormat="1" ht="19.5" thickBot="1" x14ac:dyDescent="0.35">
      <c r="A49" s="248">
        <v>770</v>
      </c>
      <c r="B49" s="59" t="s">
        <v>222</v>
      </c>
      <c r="C49" s="291">
        <v>224991</v>
      </c>
      <c r="D49" s="274"/>
      <c r="E49" s="106"/>
      <c r="F49" s="106">
        <f t="shared" si="2"/>
        <v>224991</v>
      </c>
      <c r="G49" s="106">
        <f t="shared" si="3"/>
        <v>0</v>
      </c>
      <c r="H49" s="84"/>
      <c r="I49" s="84"/>
      <c r="J49" s="84"/>
      <c r="K49" s="84"/>
      <c r="L49" s="84">
        <v>33320</v>
      </c>
      <c r="M49" s="84"/>
      <c r="N49" s="84"/>
      <c r="O49" s="84">
        <v>56850</v>
      </c>
      <c r="P49" s="84"/>
      <c r="Q49" s="84"/>
      <c r="R49" s="84"/>
      <c r="S49" s="84">
        <v>126562</v>
      </c>
      <c r="T49" s="84"/>
      <c r="U49" s="84"/>
      <c r="V49" s="84"/>
      <c r="W49" s="84">
        <v>8259</v>
      </c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5"/>
      <c r="AJ49" s="85"/>
      <c r="AK49" s="85"/>
      <c r="AL49" s="85"/>
      <c r="AM49" s="85"/>
    </row>
    <row r="50" spans="1:39" s="13" customFormat="1" ht="19.5" thickBot="1" x14ac:dyDescent="0.35">
      <c r="A50" s="248">
        <v>860</v>
      </c>
      <c r="B50" s="59" t="s">
        <v>223</v>
      </c>
      <c r="C50" s="291">
        <v>109432</v>
      </c>
      <c r="D50" s="274"/>
      <c r="E50" s="106"/>
      <c r="F50" s="106">
        <f t="shared" si="2"/>
        <v>109432</v>
      </c>
      <c r="G50" s="106">
        <f t="shared" si="3"/>
        <v>0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>
        <v>109432</v>
      </c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5"/>
      <c r="AJ50" s="85"/>
      <c r="AK50" s="85"/>
      <c r="AL50" s="85"/>
      <c r="AM50" s="85"/>
    </row>
    <row r="51" spans="1:39" s="13" customFormat="1" ht="19.5" thickBot="1" x14ac:dyDescent="0.35">
      <c r="A51" s="248">
        <v>870</v>
      </c>
      <c r="B51" s="59" t="s">
        <v>224</v>
      </c>
      <c r="C51" s="291">
        <v>852995</v>
      </c>
      <c r="D51" s="274"/>
      <c r="E51" s="106"/>
      <c r="F51" s="106">
        <f t="shared" si="2"/>
        <v>852995</v>
      </c>
      <c r="G51" s="106">
        <f t="shared" si="3"/>
        <v>0</v>
      </c>
      <c r="H51" s="84"/>
      <c r="I51" s="84"/>
      <c r="J51" s="84"/>
      <c r="K51" s="84"/>
      <c r="L51" s="84">
        <v>252062</v>
      </c>
      <c r="M51" s="84"/>
      <c r="N51" s="84">
        <v>8969</v>
      </c>
      <c r="O51" s="84">
        <v>128075</v>
      </c>
      <c r="P51" s="84">
        <v>68793</v>
      </c>
      <c r="Q51" s="84">
        <v>128167</v>
      </c>
      <c r="R51" s="84">
        <v>6017</v>
      </c>
      <c r="S51" s="84">
        <v>45982</v>
      </c>
      <c r="T51" s="84">
        <v>190422</v>
      </c>
      <c r="U51" s="84"/>
      <c r="V51" s="84"/>
      <c r="W51" s="84"/>
      <c r="X51" s="84">
        <v>24508</v>
      </c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5"/>
      <c r="AJ51" s="85"/>
      <c r="AK51" s="85"/>
      <c r="AL51" s="85"/>
      <c r="AM51" s="85"/>
    </row>
    <row r="52" spans="1:39" s="13" customFormat="1" ht="19.5" thickBot="1" x14ac:dyDescent="0.35">
      <c r="A52" s="248">
        <v>880</v>
      </c>
      <c r="B52" s="59" t="s">
        <v>225</v>
      </c>
      <c r="C52" s="291">
        <v>29766070</v>
      </c>
      <c r="D52" s="274"/>
      <c r="E52" s="106"/>
      <c r="F52" s="106">
        <f t="shared" si="2"/>
        <v>29766070</v>
      </c>
      <c r="G52" s="106">
        <f t="shared" si="3"/>
        <v>0</v>
      </c>
      <c r="H52" s="84"/>
      <c r="I52" s="84"/>
      <c r="J52" s="84"/>
      <c r="K52" s="84"/>
      <c r="L52" s="84"/>
      <c r="M52" s="84"/>
      <c r="N52" s="84">
        <v>1079072</v>
      </c>
      <c r="O52" s="84">
        <v>2286382</v>
      </c>
      <c r="P52" s="84">
        <v>2828529</v>
      </c>
      <c r="Q52" s="84">
        <v>1967966</v>
      </c>
      <c r="R52" s="84">
        <v>6493536</v>
      </c>
      <c r="S52" s="84">
        <v>2300099</v>
      </c>
      <c r="T52" s="84"/>
      <c r="U52" s="84">
        <v>5324974</v>
      </c>
      <c r="V52" s="84">
        <v>1873885</v>
      </c>
      <c r="W52" s="84"/>
      <c r="X52" s="84">
        <v>1744926</v>
      </c>
      <c r="Y52" s="84">
        <v>3866701</v>
      </c>
      <c r="Z52" s="84"/>
      <c r="AA52" s="84"/>
      <c r="AB52" s="84"/>
      <c r="AC52" s="84"/>
      <c r="AD52" s="84"/>
      <c r="AE52" s="84"/>
      <c r="AF52" s="84"/>
      <c r="AG52" s="84"/>
      <c r="AH52" s="84"/>
      <c r="AI52" s="85"/>
      <c r="AJ52" s="85"/>
      <c r="AK52" s="85"/>
      <c r="AL52" s="85"/>
      <c r="AM52" s="85"/>
    </row>
    <row r="53" spans="1:39" s="13" customFormat="1" ht="19.5" thickBot="1" x14ac:dyDescent="0.35">
      <c r="A53" s="248">
        <v>890</v>
      </c>
      <c r="B53" s="59" t="s">
        <v>226</v>
      </c>
      <c r="C53" s="291">
        <v>38836</v>
      </c>
      <c r="D53" s="274"/>
      <c r="E53" s="106"/>
      <c r="F53" s="106">
        <f t="shared" si="2"/>
        <v>38836</v>
      </c>
      <c r="G53" s="106">
        <f t="shared" si="3"/>
        <v>0</v>
      </c>
      <c r="H53" s="84"/>
      <c r="I53" s="84"/>
      <c r="J53" s="84"/>
      <c r="K53" s="84"/>
      <c r="L53" s="84"/>
      <c r="M53" s="84">
        <v>29500</v>
      </c>
      <c r="N53" s="84"/>
      <c r="O53" s="84"/>
      <c r="P53" s="84">
        <v>6844</v>
      </c>
      <c r="Q53" s="84"/>
      <c r="R53" s="84">
        <v>2492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5"/>
      <c r="AJ53" s="85"/>
      <c r="AK53" s="85"/>
      <c r="AL53" s="85"/>
      <c r="AM53" s="85"/>
    </row>
    <row r="54" spans="1:39" s="13" customFormat="1" ht="19.5" thickBot="1" x14ac:dyDescent="0.35">
      <c r="A54" s="248">
        <v>900</v>
      </c>
      <c r="B54" s="59" t="s">
        <v>227</v>
      </c>
      <c r="C54" s="291">
        <v>933431</v>
      </c>
      <c r="D54" s="274"/>
      <c r="E54" s="106"/>
      <c r="F54" s="106">
        <f t="shared" si="2"/>
        <v>933431</v>
      </c>
      <c r="G54" s="106">
        <f t="shared" si="3"/>
        <v>0</v>
      </c>
      <c r="H54" s="84"/>
      <c r="I54" s="84"/>
      <c r="J54" s="84"/>
      <c r="K54" s="84"/>
      <c r="L54" s="84">
        <v>187283</v>
      </c>
      <c r="M54" s="84">
        <v>11088</v>
      </c>
      <c r="N54" s="84">
        <v>102826</v>
      </c>
      <c r="O54" s="84">
        <v>70705</v>
      </c>
      <c r="P54" s="84">
        <v>73895</v>
      </c>
      <c r="Q54" s="84">
        <v>85641</v>
      </c>
      <c r="R54" s="84">
        <v>72181</v>
      </c>
      <c r="S54" s="84">
        <v>96537</v>
      </c>
      <c r="T54" s="84">
        <v>92807</v>
      </c>
      <c r="U54" s="84"/>
      <c r="V54" s="84">
        <v>82272</v>
      </c>
      <c r="W54" s="84"/>
      <c r="X54" s="84">
        <v>58196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5"/>
      <c r="AJ54" s="85"/>
      <c r="AK54" s="85"/>
      <c r="AL54" s="85"/>
      <c r="AM54" s="85"/>
    </row>
    <row r="55" spans="1:39" s="13" customFormat="1" ht="19.5" thickBot="1" x14ac:dyDescent="0.35">
      <c r="A55" s="248">
        <v>910</v>
      </c>
      <c r="B55" s="59" t="s">
        <v>228</v>
      </c>
      <c r="C55" s="291">
        <v>572440</v>
      </c>
      <c r="D55" s="274"/>
      <c r="E55" s="106"/>
      <c r="F55" s="106">
        <f t="shared" si="2"/>
        <v>572440</v>
      </c>
      <c r="G55" s="106">
        <f t="shared" si="3"/>
        <v>0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>
        <v>175588</v>
      </c>
      <c r="S55" s="84"/>
      <c r="T55" s="84"/>
      <c r="U55" s="84">
        <v>262127</v>
      </c>
      <c r="V55" s="84">
        <v>6449</v>
      </c>
      <c r="W55" s="84"/>
      <c r="X55" s="84"/>
      <c r="Y55" s="84">
        <v>128276</v>
      </c>
      <c r="Z55" s="84"/>
      <c r="AA55" s="84"/>
      <c r="AB55" s="84"/>
      <c r="AC55" s="84"/>
      <c r="AD55" s="84"/>
      <c r="AE55" s="84"/>
      <c r="AF55" s="84"/>
      <c r="AG55" s="84"/>
      <c r="AH55" s="84"/>
      <c r="AI55" s="85"/>
      <c r="AJ55" s="85"/>
      <c r="AK55" s="85"/>
      <c r="AL55" s="85"/>
      <c r="AM55" s="85"/>
    </row>
    <row r="56" spans="1:39" s="13" customFormat="1" ht="19.5" thickBot="1" x14ac:dyDescent="0.35">
      <c r="A56" s="248">
        <v>920</v>
      </c>
      <c r="B56" s="59" t="s">
        <v>229</v>
      </c>
      <c r="C56" s="291">
        <v>94927</v>
      </c>
      <c r="D56" s="274"/>
      <c r="E56" s="106"/>
      <c r="F56" s="106">
        <f t="shared" si="2"/>
        <v>94927</v>
      </c>
      <c r="G56" s="106">
        <f t="shared" si="3"/>
        <v>0</v>
      </c>
      <c r="H56" s="84"/>
      <c r="I56" s="84"/>
      <c r="J56" s="84"/>
      <c r="K56" s="84"/>
      <c r="L56" s="84"/>
      <c r="M56" s="84"/>
      <c r="N56" s="84"/>
      <c r="O56" s="84">
        <v>57239</v>
      </c>
      <c r="P56" s="84"/>
      <c r="Q56" s="84"/>
      <c r="R56" s="84"/>
      <c r="S56" s="84">
        <f>30193+7495</f>
        <v>37688</v>
      </c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5"/>
      <c r="AJ56" s="85"/>
      <c r="AK56" s="85"/>
      <c r="AL56" s="85"/>
      <c r="AM56" s="85"/>
    </row>
    <row r="57" spans="1:39" s="13" customFormat="1" ht="19.5" thickBot="1" x14ac:dyDescent="0.35">
      <c r="A57" s="248">
        <v>930</v>
      </c>
      <c r="B57" s="59" t="s">
        <v>230</v>
      </c>
      <c r="C57" s="291">
        <v>28783</v>
      </c>
      <c r="D57" s="274">
        <v>9025</v>
      </c>
      <c r="E57" s="106">
        <f>IF(ISBLANK(D57),,C57)</f>
        <v>28783</v>
      </c>
      <c r="F57" s="106">
        <f t="shared" si="2"/>
        <v>0</v>
      </c>
      <c r="G57" s="106">
        <f t="shared" si="3"/>
        <v>0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5"/>
      <c r="AJ57" s="85"/>
      <c r="AK57" s="85"/>
      <c r="AL57" s="85"/>
      <c r="AM57" s="85"/>
    </row>
    <row r="58" spans="1:39" s="13" customFormat="1" ht="19.5" thickBot="1" x14ac:dyDescent="0.35">
      <c r="A58" s="248">
        <v>940</v>
      </c>
      <c r="B58" s="59" t="s">
        <v>231</v>
      </c>
      <c r="C58" s="291">
        <v>85436</v>
      </c>
      <c r="D58" s="274"/>
      <c r="E58" s="106"/>
      <c r="F58" s="106">
        <f t="shared" si="2"/>
        <v>85436</v>
      </c>
      <c r="G58" s="106">
        <f t="shared" si="3"/>
        <v>0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>
        <f>83709+1727</f>
        <v>85436</v>
      </c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5"/>
      <c r="AJ58" s="85"/>
      <c r="AK58" s="85"/>
      <c r="AL58" s="85"/>
      <c r="AM58" s="85"/>
    </row>
    <row r="59" spans="1:39" s="13" customFormat="1" ht="19.5" thickBot="1" x14ac:dyDescent="0.35">
      <c r="A59" s="248">
        <v>950</v>
      </c>
      <c r="B59" s="59" t="s">
        <v>232</v>
      </c>
      <c r="C59" s="291">
        <v>21615</v>
      </c>
      <c r="D59" s="274"/>
      <c r="E59" s="106"/>
      <c r="F59" s="106">
        <f t="shared" si="2"/>
        <v>21615</v>
      </c>
      <c r="G59" s="106">
        <f t="shared" si="3"/>
        <v>0</v>
      </c>
      <c r="H59" s="84"/>
      <c r="I59" s="84"/>
      <c r="J59" s="84"/>
      <c r="K59" s="84"/>
      <c r="L59" s="84"/>
      <c r="M59" s="84">
        <v>8448</v>
      </c>
      <c r="N59" s="84"/>
      <c r="O59" s="84"/>
      <c r="P59" s="84"/>
      <c r="Q59" s="84"/>
      <c r="R59" s="84"/>
      <c r="S59" s="84">
        <v>13167</v>
      </c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5"/>
      <c r="AJ59" s="85"/>
      <c r="AK59" s="85"/>
      <c r="AL59" s="85"/>
      <c r="AM59" s="85"/>
    </row>
    <row r="60" spans="1:39" s="13" customFormat="1" ht="19.5" thickBot="1" x14ac:dyDescent="0.35">
      <c r="A60" s="248">
        <v>960</v>
      </c>
      <c r="B60" s="59" t="s">
        <v>233</v>
      </c>
      <c r="C60" s="291">
        <v>20806</v>
      </c>
      <c r="D60" s="274">
        <v>9025</v>
      </c>
      <c r="E60" s="106">
        <v>20806</v>
      </c>
      <c r="F60" s="106">
        <f t="shared" si="2"/>
        <v>0</v>
      </c>
      <c r="G60" s="106">
        <f t="shared" si="3"/>
        <v>0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5"/>
      <c r="AJ60" s="85"/>
      <c r="AK60" s="85"/>
      <c r="AL60" s="85"/>
      <c r="AM60" s="85"/>
    </row>
    <row r="61" spans="1:39" s="13" customFormat="1" ht="19.5" thickBot="1" x14ac:dyDescent="0.35">
      <c r="A61" s="248">
        <v>970</v>
      </c>
      <c r="B61" s="59" t="s">
        <v>234</v>
      </c>
      <c r="C61" s="291">
        <v>63702</v>
      </c>
      <c r="D61" s="274"/>
      <c r="E61" s="106"/>
      <c r="F61" s="106">
        <f t="shared" si="2"/>
        <v>63702</v>
      </c>
      <c r="G61" s="106">
        <f t="shared" si="3"/>
        <v>0</v>
      </c>
      <c r="H61" s="84"/>
      <c r="I61" s="84"/>
      <c r="J61" s="84"/>
      <c r="K61" s="84"/>
      <c r="L61" s="84"/>
      <c r="M61" s="84"/>
      <c r="N61" s="84"/>
      <c r="O61" s="84"/>
      <c r="P61" s="84">
        <v>31588</v>
      </c>
      <c r="Q61" s="84"/>
      <c r="R61" s="84"/>
      <c r="S61" s="84">
        <v>22232</v>
      </c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>
        <v>9882</v>
      </c>
      <c r="AE61" s="84"/>
      <c r="AF61" s="84"/>
      <c r="AG61" s="84"/>
      <c r="AH61" s="84"/>
      <c r="AI61" s="85"/>
      <c r="AJ61" s="85"/>
      <c r="AK61" s="85"/>
      <c r="AL61" s="85"/>
      <c r="AM61" s="85"/>
    </row>
    <row r="62" spans="1:39" s="13" customFormat="1" ht="19.5" thickBot="1" x14ac:dyDescent="0.35">
      <c r="A62" s="248">
        <v>980</v>
      </c>
      <c r="B62" s="59" t="s">
        <v>235</v>
      </c>
      <c r="C62" s="291">
        <v>3900628</v>
      </c>
      <c r="D62" s="274"/>
      <c r="E62" s="106"/>
      <c r="F62" s="106">
        <f t="shared" si="2"/>
        <v>3900628</v>
      </c>
      <c r="G62" s="106">
        <f t="shared" si="3"/>
        <v>0</v>
      </c>
      <c r="H62" s="84"/>
      <c r="I62" s="84"/>
      <c r="J62" s="84"/>
      <c r="K62" s="84"/>
      <c r="L62" s="84"/>
      <c r="M62" s="84">
        <v>514769</v>
      </c>
      <c r="N62" s="84">
        <v>299642</v>
      </c>
      <c r="O62" s="84">
        <v>310920</v>
      </c>
      <c r="P62" s="84">
        <v>270551</v>
      </c>
      <c r="Q62" s="84">
        <v>322169</v>
      </c>
      <c r="R62" s="84">
        <v>398455</v>
      </c>
      <c r="S62" s="84">
        <f>249877+323506</f>
        <v>573383</v>
      </c>
      <c r="T62" s="84"/>
      <c r="U62" s="84">
        <v>632899</v>
      </c>
      <c r="V62" s="84">
        <v>162003</v>
      </c>
      <c r="W62" s="84"/>
      <c r="X62" s="84">
        <v>319037</v>
      </c>
      <c r="Y62" s="84">
        <v>96800</v>
      </c>
      <c r="Z62" s="84"/>
      <c r="AA62" s="84"/>
      <c r="AB62" s="84"/>
      <c r="AC62" s="84"/>
      <c r="AD62" s="84"/>
      <c r="AE62" s="84"/>
      <c r="AF62" s="84"/>
      <c r="AG62" s="84"/>
      <c r="AH62" s="84"/>
      <c r="AI62" s="85"/>
      <c r="AJ62" s="85"/>
      <c r="AK62" s="85"/>
      <c r="AL62" s="85"/>
      <c r="AM62" s="85"/>
    </row>
    <row r="63" spans="1:39" s="13" customFormat="1" ht="19.5" thickBot="1" x14ac:dyDescent="0.35">
      <c r="A63" s="248">
        <v>990</v>
      </c>
      <c r="B63" s="59" t="s">
        <v>236</v>
      </c>
      <c r="C63" s="291">
        <v>1131632</v>
      </c>
      <c r="D63" s="274"/>
      <c r="E63" s="106"/>
      <c r="F63" s="106">
        <f t="shared" si="2"/>
        <v>1131632</v>
      </c>
      <c r="G63" s="106">
        <f t="shared" si="3"/>
        <v>0</v>
      </c>
      <c r="H63" s="84"/>
      <c r="I63" s="84"/>
      <c r="J63" s="84"/>
      <c r="K63" s="84"/>
      <c r="L63" s="84"/>
      <c r="M63" s="84">
        <v>82647</v>
      </c>
      <c r="N63" s="84"/>
      <c r="O63" s="84">
        <v>175508</v>
      </c>
      <c r="P63" s="84">
        <v>132026</v>
      </c>
      <c r="Q63" s="84">
        <v>110515</v>
      </c>
      <c r="R63" s="84">
        <v>84457</v>
      </c>
      <c r="S63" s="84">
        <v>82335</v>
      </c>
      <c r="T63" s="84"/>
      <c r="U63" s="84"/>
      <c r="V63" s="84">
        <v>355183</v>
      </c>
      <c r="W63" s="84"/>
      <c r="X63" s="84">
        <v>108961</v>
      </c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5"/>
      <c r="AJ63" s="85"/>
      <c r="AK63" s="85"/>
      <c r="AL63" s="85"/>
      <c r="AM63" s="85"/>
    </row>
    <row r="64" spans="1:39" s="13" customFormat="1" ht="19.5" thickBot="1" x14ac:dyDescent="0.35">
      <c r="A64" s="248">
        <v>1000</v>
      </c>
      <c r="B64" s="59" t="s">
        <v>237</v>
      </c>
      <c r="C64" s="291">
        <v>1422820</v>
      </c>
      <c r="D64" s="274"/>
      <c r="E64" s="106"/>
      <c r="F64" s="106">
        <f t="shared" si="2"/>
        <v>1422820</v>
      </c>
      <c r="G64" s="106">
        <f t="shared" si="3"/>
        <v>0</v>
      </c>
      <c r="H64" s="84"/>
      <c r="I64" s="84"/>
      <c r="J64" s="84"/>
      <c r="K64" s="84">
        <v>134029</v>
      </c>
      <c r="L64" s="84">
        <v>106635</v>
      </c>
      <c r="M64" s="84">
        <v>92424</v>
      </c>
      <c r="N64" s="84">
        <v>95563</v>
      </c>
      <c r="O64" s="84">
        <v>96678</v>
      </c>
      <c r="P64" s="84">
        <v>103964</v>
      </c>
      <c r="Q64" s="84">
        <v>108510</v>
      </c>
      <c r="R64" s="84"/>
      <c r="S64" s="84">
        <f>104284+293382</f>
        <v>397666</v>
      </c>
      <c r="T64" s="84">
        <v>63740</v>
      </c>
      <c r="U64" s="84"/>
      <c r="V64" s="84">
        <v>223611</v>
      </c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5"/>
      <c r="AJ64" s="85"/>
      <c r="AK64" s="85"/>
      <c r="AL64" s="85"/>
      <c r="AM64" s="85"/>
    </row>
    <row r="65" spans="1:39" s="13" customFormat="1" ht="19.5" thickBot="1" x14ac:dyDescent="0.35">
      <c r="A65" s="248">
        <v>1010</v>
      </c>
      <c r="B65" s="59" t="s">
        <v>238</v>
      </c>
      <c r="C65" s="291">
        <v>6401120</v>
      </c>
      <c r="D65" s="274"/>
      <c r="E65" s="106"/>
      <c r="F65" s="106">
        <f t="shared" si="2"/>
        <v>6401120</v>
      </c>
      <c r="G65" s="106">
        <f t="shared" si="3"/>
        <v>0</v>
      </c>
      <c r="H65" s="84"/>
      <c r="I65" s="84"/>
      <c r="J65" s="84"/>
      <c r="K65" s="84"/>
      <c r="L65" s="84"/>
      <c r="M65" s="84"/>
      <c r="N65" s="84">
        <v>15095</v>
      </c>
      <c r="O65" s="84">
        <v>525533</v>
      </c>
      <c r="P65" s="84">
        <v>745854</v>
      </c>
      <c r="Q65" s="84">
        <v>522477</v>
      </c>
      <c r="R65" s="84">
        <v>583724</v>
      </c>
      <c r="S65" s="84">
        <f>779465+563750</f>
        <v>1343215</v>
      </c>
      <c r="T65" s="84"/>
      <c r="U65" s="84">
        <v>1457293</v>
      </c>
      <c r="V65" s="84"/>
      <c r="W65" s="84"/>
      <c r="X65" s="84">
        <v>710216</v>
      </c>
      <c r="Y65" s="84">
        <v>497713</v>
      </c>
      <c r="Z65" s="84"/>
      <c r="AA65" s="84"/>
      <c r="AB65" s="84"/>
      <c r="AC65" s="84"/>
      <c r="AD65" s="84"/>
      <c r="AE65" s="84"/>
      <c r="AF65" s="84"/>
      <c r="AG65" s="84"/>
      <c r="AH65" s="84"/>
      <c r="AI65" s="85"/>
      <c r="AJ65" s="85"/>
      <c r="AK65" s="85"/>
      <c r="AL65" s="85"/>
      <c r="AM65" s="85"/>
    </row>
    <row r="66" spans="1:39" s="13" customFormat="1" ht="19.5" thickBot="1" x14ac:dyDescent="0.35">
      <c r="A66" s="248">
        <v>1020</v>
      </c>
      <c r="B66" s="59" t="s">
        <v>239</v>
      </c>
      <c r="C66" s="291">
        <v>196334</v>
      </c>
      <c r="D66" s="274"/>
      <c r="E66" s="106"/>
      <c r="F66" s="106">
        <f t="shared" si="2"/>
        <v>196334</v>
      </c>
      <c r="G66" s="106">
        <f t="shared" si="3"/>
        <v>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>
        <v>130160</v>
      </c>
      <c r="T66" s="84"/>
      <c r="U66" s="84">
        <v>66174</v>
      </c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5"/>
      <c r="AJ66" s="85"/>
      <c r="AK66" s="85"/>
      <c r="AL66" s="85"/>
      <c r="AM66" s="85"/>
    </row>
    <row r="67" spans="1:39" s="13" customFormat="1" ht="19.5" thickBot="1" x14ac:dyDescent="0.35">
      <c r="A67" s="249">
        <v>1030</v>
      </c>
      <c r="B67" s="59" t="s">
        <v>240</v>
      </c>
      <c r="C67" s="291">
        <v>147418</v>
      </c>
      <c r="D67" s="274"/>
      <c r="E67" s="106"/>
      <c r="F67" s="106">
        <f t="shared" si="2"/>
        <v>147418</v>
      </c>
      <c r="G67" s="106">
        <f t="shared" si="3"/>
        <v>0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>
        <v>31484</v>
      </c>
      <c r="T67" s="84"/>
      <c r="U67" s="84"/>
      <c r="V67" s="84"/>
      <c r="W67" s="84">
        <v>26651</v>
      </c>
      <c r="X67" s="84"/>
      <c r="Y67" s="84"/>
      <c r="Z67" s="84"/>
      <c r="AA67" s="84"/>
      <c r="AB67" s="84">
        <v>89283</v>
      </c>
      <c r="AC67" s="84"/>
      <c r="AD67" s="84"/>
      <c r="AE67" s="84"/>
      <c r="AF67" s="84"/>
      <c r="AG67" s="84"/>
      <c r="AH67" s="84"/>
      <c r="AI67" s="85"/>
      <c r="AJ67" s="85"/>
      <c r="AK67" s="85"/>
      <c r="AL67" s="85"/>
      <c r="AM67" s="85"/>
    </row>
    <row r="68" spans="1:39" s="13" customFormat="1" ht="19.5" thickBot="1" x14ac:dyDescent="0.35">
      <c r="A68" s="249">
        <v>1040</v>
      </c>
      <c r="B68" s="59" t="s">
        <v>241</v>
      </c>
      <c r="C68" s="291">
        <v>841015</v>
      </c>
      <c r="D68" s="274"/>
      <c r="E68" s="106"/>
      <c r="F68" s="106">
        <f t="shared" si="2"/>
        <v>841015</v>
      </c>
      <c r="G68" s="106">
        <f t="shared" si="3"/>
        <v>0</v>
      </c>
      <c r="H68" s="84"/>
      <c r="I68" s="84"/>
      <c r="J68" s="84"/>
      <c r="K68" s="84"/>
      <c r="L68" s="84"/>
      <c r="M68" s="84"/>
      <c r="N68" s="84"/>
      <c r="O68" s="84">
        <v>71223</v>
      </c>
      <c r="P68" s="84"/>
      <c r="Q68" s="84"/>
      <c r="R68" s="84">
        <v>295240</v>
      </c>
      <c r="S68" s="84">
        <v>127156</v>
      </c>
      <c r="T68" s="84"/>
      <c r="U68" s="84">
        <v>146780</v>
      </c>
      <c r="V68" s="84">
        <v>50191</v>
      </c>
      <c r="W68" s="84"/>
      <c r="X68" s="84"/>
      <c r="Y68" s="84"/>
      <c r="Z68" s="84">
        <v>150425</v>
      </c>
      <c r="AA68" s="84"/>
      <c r="AB68" s="84"/>
      <c r="AC68" s="84"/>
      <c r="AD68" s="84"/>
      <c r="AE68" s="84"/>
      <c r="AF68" s="84"/>
      <c r="AG68" s="84"/>
      <c r="AH68" s="84"/>
      <c r="AI68" s="85"/>
      <c r="AJ68" s="85"/>
      <c r="AK68" s="85"/>
      <c r="AL68" s="85"/>
      <c r="AM68" s="85"/>
    </row>
    <row r="69" spans="1:39" s="13" customFormat="1" ht="19.5" thickBot="1" x14ac:dyDescent="0.35">
      <c r="A69" s="249">
        <v>1050</v>
      </c>
      <c r="B69" s="59" t="s">
        <v>242</v>
      </c>
      <c r="C69" s="291">
        <v>182268</v>
      </c>
      <c r="D69" s="274"/>
      <c r="E69" s="106"/>
      <c r="F69" s="106">
        <f t="shared" si="2"/>
        <v>182268</v>
      </c>
      <c r="G69" s="106">
        <f t="shared" si="3"/>
        <v>0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>
        <v>177929</v>
      </c>
      <c r="T69" s="84"/>
      <c r="U69" s="84"/>
      <c r="V69" s="84"/>
      <c r="W69" s="84"/>
      <c r="X69" s="84"/>
      <c r="Y69" s="84"/>
      <c r="Z69" s="84"/>
      <c r="AA69" s="84"/>
      <c r="AB69" s="84"/>
      <c r="AC69" s="84">
        <v>4339</v>
      </c>
      <c r="AD69" s="84"/>
      <c r="AE69" s="84"/>
      <c r="AF69" s="84"/>
      <c r="AG69" s="84"/>
      <c r="AH69" s="84"/>
      <c r="AI69" s="85"/>
      <c r="AJ69" s="85"/>
      <c r="AK69" s="85"/>
      <c r="AL69" s="85"/>
      <c r="AM69" s="85"/>
    </row>
    <row r="70" spans="1:39" s="13" customFormat="1" ht="19.5" thickBot="1" x14ac:dyDescent="0.35">
      <c r="A70" s="249">
        <v>1060</v>
      </c>
      <c r="B70" s="59" t="s">
        <v>243</v>
      </c>
      <c r="C70" s="291">
        <v>80399</v>
      </c>
      <c r="D70" s="274"/>
      <c r="E70" s="106"/>
      <c r="F70" s="106">
        <f t="shared" si="2"/>
        <v>80399</v>
      </c>
      <c r="G70" s="106">
        <f t="shared" si="3"/>
        <v>0</v>
      </c>
      <c r="H70" s="84"/>
      <c r="I70" s="84"/>
      <c r="J70" s="84"/>
      <c r="K70" s="84"/>
      <c r="L70" s="84"/>
      <c r="M70" s="84"/>
      <c r="N70" s="84">
        <v>24607</v>
      </c>
      <c r="P70" s="84">
        <v>26404</v>
      </c>
      <c r="Q70" s="84"/>
      <c r="R70" s="84">
        <v>26402</v>
      </c>
      <c r="S70" s="84"/>
      <c r="T70" s="84"/>
      <c r="U70" s="84"/>
      <c r="V70" s="84"/>
      <c r="W70" s="84"/>
      <c r="X70" s="84"/>
      <c r="Y70" s="84">
        <v>2986</v>
      </c>
      <c r="Z70" s="84"/>
      <c r="AA70" s="84"/>
      <c r="AB70" s="84"/>
      <c r="AC70" s="84"/>
      <c r="AD70" s="84"/>
      <c r="AE70" s="84"/>
      <c r="AF70" s="84"/>
      <c r="AG70" s="84"/>
      <c r="AH70" s="84"/>
      <c r="AI70" s="85"/>
      <c r="AJ70" s="85"/>
      <c r="AK70" s="85"/>
      <c r="AL70" s="85"/>
      <c r="AM70" s="85"/>
    </row>
    <row r="71" spans="1:39" s="13" customFormat="1" ht="19.5" thickBot="1" x14ac:dyDescent="0.35">
      <c r="A71" s="249">
        <v>1070</v>
      </c>
      <c r="B71" s="59" t="s">
        <v>244</v>
      </c>
      <c r="C71" s="291">
        <v>40320</v>
      </c>
      <c r="D71" s="274"/>
      <c r="E71" s="106"/>
      <c r="F71" s="106">
        <f t="shared" si="2"/>
        <v>40320</v>
      </c>
      <c r="G71" s="106">
        <f t="shared" si="3"/>
        <v>0</v>
      </c>
      <c r="H71" s="84"/>
      <c r="I71" s="84"/>
      <c r="J71" s="84"/>
      <c r="K71" s="84">
        <v>7750</v>
      </c>
      <c r="L71" s="84"/>
      <c r="M71" s="84"/>
      <c r="N71" s="84">
        <v>13833</v>
      </c>
      <c r="O71" s="84"/>
      <c r="P71" s="84">
        <v>5533</v>
      </c>
      <c r="Q71" s="84"/>
      <c r="R71" s="84"/>
      <c r="S71" s="84"/>
      <c r="T71" s="84"/>
      <c r="U71" s="84"/>
      <c r="V71" s="84"/>
      <c r="W71" s="84">
        <v>13170</v>
      </c>
      <c r="X71" s="84">
        <v>34</v>
      </c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5"/>
      <c r="AJ71" s="85"/>
      <c r="AK71" s="85"/>
      <c r="AL71" s="85"/>
      <c r="AM71" s="85"/>
    </row>
    <row r="72" spans="1:39" s="13" customFormat="1" ht="19.5" thickBot="1" x14ac:dyDescent="0.35">
      <c r="A72" s="249">
        <v>1080</v>
      </c>
      <c r="B72" s="59" t="s">
        <v>245</v>
      </c>
      <c r="C72" s="291">
        <v>159782</v>
      </c>
      <c r="D72" s="274"/>
      <c r="E72" s="106"/>
      <c r="F72" s="106">
        <f t="shared" si="2"/>
        <v>159782</v>
      </c>
      <c r="G72" s="106">
        <f t="shared" si="3"/>
        <v>0</v>
      </c>
      <c r="H72" s="84"/>
      <c r="I72" s="84"/>
      <c r="J72" s="84"/>
      <c r="K72" s="84"/>
      <c r="L72" s="84"/>
      <c r="M72" s="84"/>
      <c r="N72" s="84"/>
      <c r="O72" s="84"/>
      <c r="P72" s="84">
        <v>5100</v>
      </c>
      <c r="Q72" s="84">
        <v>25585</v>
      </c>
      <c r="R72" s="84">
        <v>18440</v>
      </c>
      <c r="S72" s="84">
        <v>54933</v>
      </c>
      <c r="T72" s="84"/>
      <c r="U72" s="84"/>
      <c r="V72" s="84">
        <v>52192</v>
      </c>
      <c r="W72" s="84"/>
      <c r="X72" s="84"/>
      <c r="Y72" s="84">
        <v>3532</v>
      </c>
      <c r="Z72" s="84"/>
      <c r="AA72" s="84"/>
      <c r="AB72" s="84"/>
      <c r="AC72" s="84"/>
      <c r="AD72" s="84"/>
      <c r="AE72" s="84"/>
      <c r="AF72" s="84"/>
      <c r="AG72" s="84"/>
      <c r="AH72" s="84"/>
      <c r="AI72" s="85"/>
      <c r="AJ72" s="85"/>
      <c r="AK72" s="85"/>
      <c r="AL72" s="85"/>
      <c r="AM72" s="85"/>
    </row>
    <row r="73" spans="1:39" s="13" customFormat="1" ht="19.5" thickBot="1" x14ac:dyDescent="0.35">
      <c r="A73" s="249">
        <v>1110</v>
      </c>
      <c r="B73" s="59" t="s">
        <v>246</v>
      </c>
      <c r="C73" s="291">
        <v>973423</v>
      </c>
      <c r="D73" s="274"/>
      <c r="E73" s="106"/>
      <c r="F73" s="106">
        <f t="shared" si="2"/>
        <v>973423</v>
      </c>
      <c r="G73" s="106">
        <f t="shared" si="3"/>
        <v>0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>
        <v>269846</v>
      </c>
      <c r="S73" s="84">
        <v>269169</v>
      </c>
      <c r="T73" s="84"/>
      <c r="U73" s="84">
        <v>66151</v>
      </c>
      <c r="V73" s="84"/>
      <c r="W73" s="84"/>
      <c r="X73" s="84">
        <v>228006</v>
      </c>
      <c r="Y73" s="84">
        <v>140251</v>
      </c>
      <c r="Z73" s="84"/>
      <c r="AA73" s="84"/>
      <c r="AB73" s="84"/>
      <c r="AC73" s="84"/>
      <c r="AD73" s="84"/>
      <c r="AE73" s="84"/>
      <c r="AF73" s="84"/>
      <c r="AG73" s="84"/>
      <c r="AH73" s="84"/>
      <c r="AI73" s="85"/>
      <c r="AJ73" s="85"/>
      <c r="AK73" s="85"/>
      <c r="AL73" s="85"/>
      <c r="AM73" s="85"/>
    </row>
    <row r="74" spans="1:39" s="13" customFormat="1" ht="19.5" thickBot="1" x14ac:dyDescent="0.35">
      <c r="A74" s="249">
        <v>1120</v>
      </c>
      <c r="B74" s="59" t="s">
        <v>247</v>
      </c>
      <c r="C74" s="291">
        <v>25312</v>
      </c>
      <c r="D74" s="274"/>
      <c r="E74" s="106"/>
      <c r="F74" s="106">
        <f t="shared" si="2"/>
        <v>25312</v>
      </c>
      <c r="G74" s="106">
        <f t="shared" si="3"/>
        <v>0</v>
      </c>
      <c r="H74" s="84"/>
      <c r="I74" s="84"/>
      <c r="J74" s="84"/>
      <c r="K74" s="84"/>
      <c r="L74" s="84"/>
      <c r="M74" s="84"/>
      <c r="N74" s="84">
        <v>11650</v>
      </c>
      <c r="O74" s="84"/>
      <c r="P74" s="84"/>
      <c r="Q74" s="84"/>
      <c r="R74" s="84">
        <f>11650+2012</f>
        <v>13662</v>
      </c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5"/>
      <c r="AJ74" s="85"/>
      <c r="AK74" s="85"/>
      <c r="AL74" s="85"/>
      <c r="AM74" s="85"/>
    </row>
    <row r="75" spans="1:39" s="13" customFormat="1" ht="19.5" thickBot="1" x14ac:dyDescent="0.35">
      <c r="A75" s="249">
        <v>1130</v>
      </c>
      <c r="B75" s="59" t="s">
        <v>248</v>
      </c>
      <c r="C75" s="291">
        <v>120997</v>
      </c>
      <c r="D75" s="274"/>
      <c r="E75" s="106"/>
      <c r="F75" s="106">
        <f t="shared" si="2"/>
        <v>120997</v>
      </c>
      <c r="G75" s="106">
        <f t="shared" si="3"/>
        <v>0</v>
      </c>
      <c r="H75" s="84"/>
      <c r="I75" s="84"/>
      <c r="J75" s="84"/>
      <c r="K75" s="84"/>
      <c r="L75" s="84"/>
      <c r="M75" s="84"/>
      <c r="N75" s="84"/>
      <c r="O75" s="84">
        <v>41026</v>
      </c>
      <c r="P75" s="84"/>
      <c r="Q75" s="84">
        <v>28356</v>
      </c>
      <c r="R75" s="84"/>
      <c r="S75" s="84"/>
      <c r="T75" s="84">
        <v>29054</v>
      </c>
      <c r="U75" s="84"/>
      <c r="V75" s="84">
        <v>22561</v>
      </c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5"/>
      <c r="AJ75" s="85"/>
      <c r="AK75" s="85"/>
      <c r="AL75" s="85"/>
      <c r="AM75" s="85"/>
    </row>
    <row r="76" spans="1:39" s="13" customFormat="1" ht="19.5" thickBot="1" x14ac:dyDescent="0.35">
      <c r="A76" s="249">
        <v>1140</v>
      </c>
      <c r="B76" s="59" t="s">
        <v>249</v>
      </c>
      <c r="C76" s="291">
        <v>721436</v>
      </c>
      <c r="D76" s="274"/>
      <c r="E76" s="106"/>
      <c r="F76" s="106">
        <f t="shared" si="2"/>
        <v>721436</v>
      </c>
      <c r="G76" s="106">
        <f t="shared" si="3"/>
        <v>0</v>
      </c>
      <c r="H76" s="84"/>
      <c r="I76" s="84"/>
      <c r="J76" s="84"/>
      <c r="K76" s="84"/>
      <c r="L76" s="84">
        <v>130370</v>
      </c>
      <c r="M76" s="84"/>
      <c r="N76" s="84">
        <v>166070</v>
      </c>
      <c r="O76" s="84"/>
      <c r="P76" s="84"/>
      <c r="Q76" s="84">
        <v>132976</v>
      </c>
      <c r="R76" s="84"/>
      <c r="S76" s="84">
        <v>99953</v>
      </c>
      <c r="T76" s="84"/>
      <c r="U76" s="84">
        <v>168200</v>
      </c>
      <c r="V76" s="84"/>
      <c r="W76" s="84"/>
      <c r="X76" s="84">
        <v>23867</v>
      </c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5"/>
      <c r="AJ76" s="85"/>
      <c r="AK76" s="85"/>
      <c r="AL76" s="85"/>
      <c r="AM76" s="85"/>
    </row>
    <row r="77" spans="1:39" s="13" customFormat="1" ht="19.5" thickBot="1" x14ac:dyDescent="0.35">
      <c r="A77" s="249">
        <v>1150</v>
      </c>
      <c r="B77" s="59" t="s">
        <v>250</v>
      </c>
      <c r="C77" s="291">
        <v>383052</v>
      </c>
      <c r="D77" s="274"/>
      <c r="E77" s="106"/>
      <c r="F77" s="106">
        <f t="shared" ref="F77:F108" si="4">SUM(H77:AH77)</f>
        <v>383052</v>
      </c>
      <c r="G77" s="106">
        <f t="shared" ref="G77:G108" si="5">IF(ISBLANK(E77),C77-F77,C77-E77)</f>
        <v>0</v>
      </c>
      <c r="H77" s="84"/>
      <c r="I77" s="84"/>
      <c r="J77" s="84"/>
      <c r="K77" s="84"/>
      <c r="L77" s="84"/>
      <c r="M77" s="84">
        <v>24338</v>
      </c>
      <c r="N77" s="84"/>
      <c r="O77" s="84">
        <v>71481</v>
      </c>
      <c r="P77" s="84">
        <v>35970</v>
      </c>
      <c r="Q77" s="84">
        <v>35028</v>
      </c>
      <c r="R77" s="84">
        <v>34788</v>
      </c>
      <c r="S77" s="84"/>
      <c r="T77" s="84">
        <v>73341</v>
      </c>
      <c r="U77" s="84"/>
      <c r="V77" s="84">
        <v>57682</v>
      </c>
      <c r="W77" s="84"/>
      <c r="X77" s="84"/>
      <c r="Y77" s="84">
        <v>50424</v>
      </c>
      <c r="Z77" s="84"/>
      <c r="AA77" s="84"/>
      <c r="AB77" s="84"/>
      <c r="AC77" s="84"/>
      <c r="AD77" s="84"/>
      <c r="AE77" s="84"/>
      <c r="AF77" s="84"/>
      <c r="AG77" s="84"/>
      <c r="AH77" s="84"/>
      <c r="AI77" s="85"/>
      <c r="AJ77" s="85"/>
      <c r="AK77" s="85"/>
      <c r="AL77" s="85"/>
      <c r="AM77" s="85"/>
    </row>
    <row r="78" spans="1:39" s="13" customFormat="1" ht="19.5" thickBot="1" x14ac:dyDescent="0.35">
      <c r="A78" s="249">
        <v>1160</v>
      </c>
      <c r="B78" s="59" t="s">
        <v>251</v>
      </c>
      <c r="C78" s="291">
        <v>63590</v>
      </c>
      <c r="D78" s="274"/>
      <c r="E78" s="106"/>
      <c r="F78" s="106">
        <f t="shared" si="4"/>
        <v>63590</v>
      </c>
      <c r="G78" s="106">
        <f t="shared" si="5"/>
        <v>0</v>
      </c>
      <c r="H78" s="84"/>
      <c r="I78" s="84"/>
      <c r="J78" s="84"/>
      <c r="K78" s="84"/>
      <c r="L78" s="84"/>
      <c r="M78" s="84"/>
      <c r="N78" s="84"/>
      <c r="O78" s="84"/>
      <c r="P78" s="84">
        <v>30364</v>
      </c>
      <c r="Q78" s="84"/>
      <c r="R78" s="84"/>
      <c r="S78" s="84">
        <v>33173</v>
      </c>
      <c r="T78" s="84"/>
      <c r="U78" s="84"/>
      <c r="V78" s="84"/>
      <c r="W78" s="84"/>
      <c r="X78" s="84"/>
      <c r="Y78" s="84"/>
      <c r="Z78" s="84">
        <v>53</v>
      </c>
      <c r="AA78" s="84"/>
      <c r="AB78" s="84"/>
      <c r="AC78" s="84"/>
      <c r="AD78" s="84"/>
      <c r="AE78" s="84"/>
      <c r="AF78" s="84"/>
      <c r="AG78" s="84"/>
      <c r="AH78" s="84"/>
      <c r="AI78" s="85"/>
      <c r="AJ78" s="85"/>
      <c r="AK78" s="85"/>
      <c r="AL78" s="85"/>
      <c r="AM78" s="85"/>
    </row>
    <row r="79" spans="1:39" s="13" customFormat="1" ht="19.5" thickBot="1" x14ac:dyDescent="0.35">
      <c r="A79" s="249">
        <v>1180</v>
      </c>
      <c r="B79" s="59" t="s">
        <v>252</v>
      </c>
      <c r="C79" s="291">
        <v>552864</v>
      </c>
      <c r="D79" s="274"/>
      <c r="E79" s="106"/>
      <c r="F79" s="106">
        <f t="shared" si="4"/>
        <v>552864</v>
      </c>
      <c r="G79" s="106">
        <f t="shared" si="5"/>
        <v>0</v>
      </c>
      <c r="H79" s="84"/>
      <c r="I79" s="84"/>
      <c r="J79" s="84"/>
      <c r="K79" s="84"/>
      <c r="L79" s="84"/>
      <c r="M79" s="84"/>
      <c r="N79" s="84"/>
      <c r="O79" s="84"/>
      <c r="P79" s="84">
        <v>105751</v>
      </c>
      <c r="Q79" s="84"/>
      <c r="R79" s="84"/>
      <c r="S79" s="84"/>
      <c r="T79" s="84"/>
      <c r="U79" s="84"/>
      <c r="V79" s="84"/>
      <c r="W79" s="84">
        <f>366967</f>
        <v>366967</v>
      </c>
      <c r="X79" s="84">
        <v>36927</v>
      </c>
      <c r="Y79" s="84"/>
      <c r="Z79" s="84">
        <v>43219</v>
      </c>
      <c r="AA79" s="84"/>
      <c r="AB79" s="84"/>
      <c r="AC79" s="84"/>
      <c r="AD79" s="84"/>
      <c r="AE79" s="84"/>
      <c r="AF79" s="84"/>
      <c r="AG79" s="84"/>
      <c r="AH79" s="84"/>
      <c r="AI79" s="85"/>
      <c r="AJ79" s="85"/>
      <c r="AK79" s="85"/>
      <c r="AL79" s="85"/>
      <c r="AM79" s="85"/>
    </row>
    <row r="80" spans="1:39" s="13" customFormat="1" ht="19.5" thickBot="1" x14ac:dyDescent="0.35">
      <c r="A80" s="249">
        <v>1195</v>
      </c>
      <c r="B80" s="59" t="s">
        <v>253</v>
      </c>
      <c r="C80" s="291">
        <v>318520</v>
      </c>
      <c r="D80" s="274"/>
      <c r="E80" s="106"/>
      <c r="F80" s="106">
        <f t="shared" si="4"/>
        <v>318520</v>
      </c>
      <c r="G80" s="106">
        <f t="shared" si="5"/>
        <v>0</v>
      </c>
      <c r="H80" s="84"/>
      <c r="I80" s="84"/>
      <c r="J80" s="84"/>
      <c r="K80" s="84"/>
      <c r="L80" s="84">
        <v>44818</v>
      </c>
      <c r="M80" s="84"/>
      <c r="N80" s="84">
        <v>28778</v>
      </c>
      <c r="O80" s="84">
        <v>41965</v>
      </c>
      <c r="P80" s="84">
        <v>35076</v>
      </c>
      <c r="Q80" s="84">
        <v>30640</v>
      </c>
      <c r="R80" s="84">
        <v>28891</v>
      </c>
      <c r="S80" s="84">
        <v>20847</v>
      </c>
      <c r="T80" s="84">
        <v>35552</v>
      </c>
      <c r="U80" s="84">
        <v>20108</v>
      </c>
      <c r="V80" s="84">
        <f>31845</f>
        <v>31845</v>
      </c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5"/>
      <c r="AJ80" s="85"/>
      <c r="AK80" s="85"/>
      <c r="AL80" s="85"/>
      <c r="AM80" s="85"/>
    </row>
    <row r="81" spans="1:39" s="13" customFormat="1" ht="19.5" thickBot="1" x14ac:dyDescent="0.35">
      <c r="A81" s="249">
        <v>1220</v>
      </c>
      <c r="B81" s="59" t="s">
        <v>254</v>
      </c>
      <c r="C81" s="291">
        <v>105333</v>
      </c>
      <c r="D81" s="274"/>
      <c r="E81" s="106"/>
      <c r="F81" s="106">
        <f t="shared" si="4"/>
        <v>105333</v>
      </c>
      <c r="G81" s="106">
        <f t="shared" si="5"/>
        <v>0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>
        <v>105333</v>
      </c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5"/>
      <c r="AJ81" s="85"/>
      <c r="AK81" s="85"/>
      <c r="AL81" s="85"/>
      <c r="AM81" s="85"/>
    </row>
    <row r="82" spans="1:39" s="13" customFormat="1" ht="19.5" thickBot="1" x14ac:dyDescent="0.35">
      <c r="A82" s="249">
        <v>1330</v>
      </c>
      <c r="B82" s="59" t="s">
        <v>255</v>
      </c>
      <c r="C82" s="291">
        <v>18375</v>
      </c>
      <c r="D82" s="274"/>
      <c r="E82" s="106"/>
      <c r="F82" s="106">
        <f t="shared" si="4"/>
        <v>18375</v>
      </c>
      <c r="G82" s="106">
        <f t="shared" si="5"/>
        <v>0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>
        <v>16218</v>
      </c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>
        <v>2157</v>
      </c>
      <c r="AE82" s="84"/>
      <c r="AF82" s="84"/>
      <c r="AG82" s="84"/>
      <c r="AH82" s="84"/>
      <c r="AI82" s="85"/>
      <c r="AJ82" s="85"/>
      <c r="AK82" s="85"/>
      <c r="AL82" s="85"/>
      <c r="AM82" s="85"/>
    </row>
    <row r="83" spans="1:39" s="13" customFormat="1" ht="19.5" thickBot="1" x14ac:dyDescent="0.35">
      <c r="A83" s="249">
        <v>1340</v>
      </c>
      <c r="B83" s="59" t="s">
        <v>256</v>
      </c>
      <c r="C83" s="291">
        <v>51939</v>
      </c>
      <c r="D83" s="274"/>
      <c r="E83" s="106"/>
      <c r="F83" s="106">
        <f t="shared" si="4"/>
        <v>51939</v>
      </c>
      <c r="G83" s="106">
        <f t="shared" si="5"/>
        <v>0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>
        <v>47070</v>
      </c>
      <c r="T83" s="84"/>
      <c r="U83" s="84"/>
      <c r="V83" s="84"/>
      <c r="W83" s="84"/>
      <c r="X83" s="84"/>
      <c r="Y83" s="84"/>
      <c r="Z83" s="84"/>
      <c r="AA83" s="84"/>
      <c r="AB83" s="84"/>
      <c r="AC83" s="84">
        <v>4869</v>
      </c>
      <c r="AD83" s="84"/>
      <c r="AE83" s="84"/>
      <c r="AF83" s="84"/>
      <c r="AG83" s="84"/>
      <c r="AH83" s="84"/>
      <c r="AI83" s="85"/>
      <c r="AJ83" s="85"/>
      <c r="AK83" s="85"/>
      <c r="AL83" s="85"/>
      <c r="AM83" s="85"/>
    </row>
    <row r="84" spans="1:39" s="13" customFormat="1" ht="19.5" thickBot="1" x14ac:dyDescent="0.35">
      <c r="A84" s="249">
        <v>1350</v>
      </c>
      <c r="B84" s="59" t="s">
        <v>257</v>
      </c>
      <c r="C84" s="291">
        <v>139740</v>
      </c>
      <c r="D84" s="274"/>
      <c r="E84" s="106"/>
      <c r="F84" s="106">
        <f t="shared" si="4"/>
        <v>139740</v>
      </c>
      <c r="G84" s="106">
        <f t="shared" si="5"/>
        <v>0</v>
      </c>
      <c r="H84" s="84"/>
      <c r="I84" s="84"/>
      <c r="J84" s="84"/>
      <c r="K84" s="84"/>
      <c r="L84" s="84"/>
      <c r="M84" s="84"/>
      <c r="N84" s="84"/>
      <c r="O84" s="84">
        <v>56510</v>
      </c>
      <c r="P84" s="84">
        <v>14282</v>
      </c>
      <c r="Q84" s="84">
        <v>11115</v>
      </c>
      <c r="R84" s="84"/>
      <c r="S84" s="84">
        <v>34477</v>
      </c>
      <c r="T84" s="84">
        <v>15410</v>
      </c>
      <c r="U84" s="84"/>
      <c r="V84" s="84">
        <v>7831</v>
      </c>
      <c r="W84" s="84"/>
      <c r="X84" s="84"/>
      <c r="Y84" s="84"/>
      <c r="Z84" s="84">
        <v>115</v>
      </c>
      <c r="AA84" s="84"/>
      <c r="AB84" s="84"/>
      <c r="AC84" s="84"/>
      <c r="AD84" s="84"/>
      <c r="AE84" s="84"/>
      <c r="AF84" s="84"/>
      <c r="AG84" s="84"/>
      <c r="AH84" s="84"/>
      <c r="AI84" s="85"/>
      <c r="AJ84" s="85"/>
      <c r="AK84" s="85"/>
      <c r="AL84" s="85"/>
      <c r="AM84" s="85"/>
    </row>
    <row r="85" spans="1:39" s="13" customFormat="1" ht="19.5" thickBot="1" x14ac:dyDescent="0.35">
      <c r="A85" s="249">
        <v>1360</v>
      </c>
      <c r="B85" s="59" t="s">
        <v>258</v>
      </c>
      <c r="C85" s="291">
        <v>181238</v>
      </c>
      <c r="D85" s="274"/>
      <c r="E85" s="106"/>
      <c r="F85" s="106">
        <f t="shared" si="4"/>
        <v>181238</v>
      </c>
      <c r="G85" s="106">
        <f t="shared" si="5"/>
        <v>0</v>
      </c>
      <c r="H85" s="84"/>
      <c r="I85" s="84"/>
      <c r="J85" s="84"/>
      <c r="K85" s="84"/>
      <c r="L85" s="84"/>
      <c r="M85" s="84"/>
      <c r="N85" s="84">
        <v>49300</v>
      </c>
      <c r="O85" s="84"/>
      <c r="P85" s="84"/>
      <c r="Q85" s="84"/>
      <c r="R85" s="84">
        <v>64667</v>
      </c>
      <c r="S85" s="84">
        <v>67271</v>
      </c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5"/>
      <c r="AJ85" s="85"/>
      <c r="AK85" s="85"/>
      <c r="AL85" s="85"/>
      <c r="AM85" s="85"/>
    </row>
    <row r="86" spans="1:39" s="13" customFormat="1" ht="19.5" thickBot="1" x14ac:dyDescent="0.35">
      <c r="A86" s="249">
        <v>1380</v>
      </c>
      <c r="B86" s="59" t="s">
        <v>259</v>
      </c>
      <c r="C86" s="291">
        <v>20915</v>
      </c>
      <c r="D86" s="274"/>
      <c r="E86" s="106"/>
      <c r="F86" s="106">
        <f t="shared" si="4"/>
        <v>20915</v>
      </c>
      <c r="G86" s="106">
        <f t="shared" si="5"/>
        <v>0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>
        <v>20915</v>
      </c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5"/>
      <c r="AJ86" s="85"/>
      <c r="AK86" s="85"/>
      <c r="AL86" s="85"/>
      <c r="AM86" s="85"/>
    </row>
    <row r="87" spans="1:39" s="13" customFormat="1" ht="19.5" thickBot="1" x14ac:dyDescent="0.35">
      <c r="A87" s="249">
        <v>1390</v>
      </c>
      <c r="B87" s="59" t="s">
        <v>260</v>
      </c>
      <c r="C87" s="291">
        <v>295769</v>
      </c>
      <c r="D87" s="274"/>
      <c r="E87" s="106"/>
      <c r="F87" s="106">
        <f t="shared" si="4"/>
        <v>295769</v>
      </c>
      <c r="G87" s="106">
        <f t="shared" si="5"/>
        <v>0</v>
      </c>
      <c r="H87" s="84"/>
      <c r="I87" s="84"/>
      <c r="J87" s="84"/>
      <c r="K87" s="84"/>
      <c r="L87" s="84"/>
      <c r="M87" s="84"/>
      <c r="N87" s="84">
        <v>101782</v>
      </c>
      <c r="O87" s="84"/>
      <c r="P87" s="84"/>
      <c r="Q87" s="84">
        <v>82581</v>
      </c>
      <c r="R87" s="84"/>
      <c r="S87" s="84">
        <v>42844</v>
      </c>
      <c r="T87" s="84"/>
      <c r="U87" s="84"/>
      <c r="V87" s="84">
        <v>68562</v>
      </c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5"/>
      <c r="AJ87" s="85"/>
      <c r="AK87" s="85"/>
      <c r="AL87" s="85"/>
      <c r="AM87" s="85"/>
    </row>
    <row r="88" spans="1:39" s="13" customFormat="1" ht="19.5" thickBot="1" x14ac:dyDescent="0.35">
      <c r="A88" s="249">
        <v>1400</v>
      </c>
      <c r="B88" s="59" t="s">
        <v>261</v>
      </c>
      <c r="C88" s="291">
        <v>35444</v>
      </c>
      <c r="D88" s="274"/>
      <c r="E88" s="106"/>
      <c r="F88" s="106">
        <f t="shared" si="4"/>
        <v>35444</v>
      </c>
      <c r="G88" s="106">
        <f t="shared" si="5"/>
        <v>0</v>
      </c>
      <c r="H88" s="84"/>
      <c r="I88" s="84"/>
      <c r="J88" s="84"/>
      <c r="K88" s="84"/>
      <c r="L88" s="84">
        <v>5056</v>
      </c>
      <c r="M88" s="84">
        <v>5587</v>
      </c>
      <c r="N88" s="84">
        <v>2880</v>
      </c>
      <c r="O88" s="84">
        <v>2875</v>
      </c>
      <c r="P88" s="84">
        <v>2895</v>
      </c>
      <c r="Q88" s="84">
        <v>2874</v>
      </c>
      <c r="R88" s="84">
        <v>2877</v>
      </c>
      <c r="S88" s="84">
        <v>6880</v>
      </c>
      <c r="T88" s="84"/>
      <c r="U88" s="84"/>
      <c r="V88" s="84"/>
      <c r="W88" s="84">
        <v>3261</v>
      </c>
      <c r="X88" s="84">
        <v>259</v>
      </c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5"/>
      <c r="AJ88" s="85"/>
      <c r="AK88" s="85"/>
      <c r="AL88" s="85"/>
      <c r="AM88" s="85"/>
    </row>
    <row r="89" spans="1:39" s="13" customFormat="1" ht="19.5" thickBot="1" x14ac:dyDescent="0.35">
      <c r="A89" s="249">
        <v>1410</v>
      </c>
      <c r="B89" s="61" t="s">
        <v>262</v>
      </c>
      <c r="C89" s="291">
        <v>42246</v>
      </c>
      <c r="D89" s="274">
        <v>9095</v>
      </c>
      <c r="E89" s="106">
        <f>IF(ISBLANK(D89),,C89)</f>
        <v>42246</v>
      </c>
      <c r="F89" s="106">
        <f t="shared" si="4"/>
        <v>0</v>
      </c>
      <c r="G89" s="106">
        <f t="shared" si="5"/>
        <v>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5"/>
      <c r="AJ89" s="85"/>
      <c r="AK89" s="85"/>
      <c r="AL89" s="85"/>
      <c r="AM89" s="85"/>
    </row>
    <row r="90" spans="1:39" s="13" customFormat="1" ht="19.5" thickBot="1" x14ac:dyDescent="0.35">
      <c r="A90" s="249">
        <v>1420</v>
      </c>
      <c r="B90" s="59" t="s">
        <v>263</v>
      </c>
      <c r="C90" s="291">
        <v>9895035</v>
      </c>
      <c r="D90" s="274"/>
      <c r="E90" s="106"/>
      <c r="F90" s="106">
        <f t="shared" si="4"/>
        <v>9895035</v>
      </c>
      <c r="G90" s="106">
        <f t="shared" si="5"/>
        <v>0</v>
      </c>
      <c r="H90" s="84"/>
      <c r="I90" s="84"/>
      <c r="J90" s="84"/>
      <c r="K90" s="84"/>
      <c r="L90" s="84">
        <v>316249</v>
      </c>
      <c r="M90" s="84">
        <v>655197</v>
      </c>
      <c r="N90" s="84">
        <v>635450</v>
      </c>
      <c r="O90" s="84"/>
      <c r="P90" s="84">
        <f>772699+702334</f>
        <v>1475033</v>
      </c>
      <c r="Q90" s="84">
        <v>666542</v>
      </c>
      <c r="R90" s="84">
        <v>722240</v>
      </c>
      <c r="S90" s="84">
        <v>1107883</v>
      </c>
      <c r="T90" s="84">
        <v>1028716</v>
      </c>
      <c r="U90" s="84"/>
      <c r="V90" s="84">
        <v>1004425</v>
      </c>
      <c r="W90" s="84"/>
      <c r="X90" s="84">
        <f>1319918+963382-963382</f>
        <v>1319918</v>
      </c>
      <c r="Y90" s="84">
        <f>39263+50000</f>
        <v>89263</v>
      </c>
      <c r="Z90" s="84"/>
      <c r="AA90" s="84">
        <v>874119</v>
      </c>
      <c r="AB90" s="84"/>
      <c r="AC90" s="84"/>
      <c r="AD90" s="84"/>
      <c r="AE90" s="84"/>
      <c r="AF90" s="84"/>
      <c r="AG90" s="84"/>
      <c r="AH90" s="84"/>
      <c r="AI90" s="85"/>
      <c r="AJ90" s="85"/>
      <c r="AK90" s="85"/>
      <c r="AL90" s="85"/>
      <c r="AM90" s="85"/>
    </row>
    <row r="91" spans="1:39" s="13" customFormat="1" ht="19.5" thickBot="1" x14ac:dyDescent="0.35">
      <c r="A91" s="249">
        <v>1430</v>
      </c>
      <c r="B91" s="59" t="s">
        <v>264</v>
      </c>
      <c r="C91" s="291">
        <v>18730</v>
      </c>
      <c r="D91" s="274"/>
      <c r="E91" s="106"/>
      <c r="F91" s="106">
        <f t="shared" si="4"/>
        <v>18730</v>
      </c>
      <c r="G91" s="106">
        <f t="shared" si="5"/>
        <v>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>
        <v>18714</v>
      </c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>
        <v>16</v>
      </c>
      <c r="AF91" s="84"/>
      <c r="AG91" s="84"/>
      <c r="AH91" s="84"/>
      <c r="AI91" s="85"/>
      <c r="AJ91" s="85"/>
      <c r="AK91" s="85"/>
      <c r="AL91" s="85"/>
      <c r="AM91" s="85"/>
    </row>
    <row r="92" spans="1:39" s="13" customFormat="1" ht="19.5" thickBot="1" x14ac:dyDescent="0.35">
      <c r="A92" s="249">
        <v>1440</v>
      </c>
      <c r="B92" s="59" t="s">
        <v>265</v>
      </c>
      <c r="C92" s="291">
        <v>13824</v>
      </c>
      <c r="D92" s="274"/>
      <c r="E92" s="106"/>
      <c r="F92" s="106">
        <f t="shared" si="4"/>
        <v>13824</v>
      </c>
      <c r="G92" s="106">
        <f t="shared" si="5"/>
        <v>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>
        <v>8299</v>
      </c>
      <c r="AB92" s="84"/>
      <c r="AC92" s="84"/>
      <c r="AD92" s="84"/>
      <c r="AE92" s="84"/>
      <c r="AF92" s="84"/>
      <c r="AG92" s="84">
        <v>5525</v>
      </c>
      <c r="AH92" s="84"/>
      <c r="AI92" s="85"/>
      <c r="AJ92" s="85"/>
      <c r="AK92" s="85"/>
      <c r="AL92" s="85"/>
      <c r="AM92" s="85"/>
    </row>
    <row r="93" spans="1:39" s="13" customFormat="1" ht="19.5" thickBot="1" x14ac:dyDescent="0.35">
      <c r="A93" s="249">
        <v>1450</v>
      </c>
      <c r="B93" s="59" t="s">
        <v>266</v>
      </c>
      <c r="C93" s="291">
        <v>28073</v>
      </c>
      <c r="D93" s="274">
        <v>9025</v>
      </c>
      <c r="E93" s="106">
        <f>IF(ISBLANK(D93),,C93)</f>
        <v>28073</v>
      </c>
      <c r="F93" s="106">
        <f t="shared" si="4"/>
        <v>0</v>
      </c>
      <c r="G93" s="106">
        <f t="shared" si="5"/>
        <v>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5"/>
      <c r="AJ93" s="85"/>
      <c r="AK93" s="85"/>
      <c r="AL93" s="85"/>
      <c r="AM93" s="85"/>
    </row>
    <row r="94" spans="1:39" s="13" customFormat="1" ht="19.5" thickBot="1" x14ac:dyDescent="0.35">
      <c r="A94" s="249">
        <v>1460</v>
      </c>
      <c r="B94" s="59" t="s">
        <v>267</v>
      </c>
      <c r="C94" s="291">
        <v>27497</v>
      </c>
      <c r="D94" s="274">
        <v>9025</v>
      </c>
      <c r="E94" s="106">
        <f>IF(ISBLANK(D94),,C94)</f>
        <v>27497</v>
      </c>
      <c r="F94" s="106">
        <f t="shared" si="4"/>
        <v>0</v>
      </c>
      <c r="G94" s="106">
        <f t="shared" si="5"/>
        <v>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5"/>
      <c r="AJ94" s="85"/>
      <c r="AK94" s="85"/>
      <c r="AL94" s="85"/>
      <c r="AM94" s="85"/>
    </row>
    <row r="95" spans="1:39" s="13" customFormat="1" ht="19.5" thickBot="1" x14ac:dyDescent="0.35">
      <c r="A95" s="249">
        <v>1480</v>
      </c>
      <c r="B95" s="59" t="s">
        <v>268</v>
      </c>
      <c r="C95" s="291">
        <v>27092</v>
      </c>
      <c r="D95" s="274">
        <v>9025</v>
      </c>
      <c r="E95" s="106">
        <f>IF(ISBLANK(D95),,C95)</f>
        <v>27092</v>
      </c>
      <c r="F95" s="106">
        <f t="shared" si="4"/>
        <v>0</v>
      </c>
      <c r="G95" s="106">
        <f t="shared" si="5"/>
        <v>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5"/>
      <c r="AJ95" s="85"/>
      <c r="AK95" s="85"/>
      <c r="AL95" s="85"/>
      <c r="AM95" s="85"/>
    </row>
    <row r="96" spans="1:39" s="13" customFormat="1" ht="19.5" thickBot="1" x14ac:dyDescent="0.35">
      <c r="A96" s="249">
        <v>1490</v>
      </c>
      <c r="B96" s="59" t="s">
        <v>269</v>
      </c>
      <c r="C96" s="291">
        <v>35261</v>
      </c>
      <c r="D96" s="274">
        <v>9025</v>
      </c>
      <c r="E96" s="106">
        <f>IF(ISBLANK(D96),,C96)</f>
        <v>35261</v>
      </c>
      <c r="F96" s="106">
        <f t="shared" si="4"/>
        <v>0</v>
      </c>
      <c r="G96" s="106">
        <f t="shared" si="5"/>
        <v>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5"/>
      <c r="AJ96" s="85"/>
      <c r="AK96" s="85"/>
      <c r="AL96" s="85"/>
      <c r="AM96" s="85"/>
    </row>
    <row r="97" spans="1:39" s="13" customFormat="1" ht="19.5" thickBot="1" x14ac:dyDescent="0.35">
      <c r="A97" s="249">
        <v>1500</v>
      </c>
      <c r="B97" s="59" t="s">
        <v>270</v>
      </c>
      <c r="C97" s="291">
        <v>115210</v>
      </c>
      <c r="D97" s="274">
        <v>9025</v>
      </c>
      <c r="E97" s="106">
        <f>IF(ISBLANK(D97),,C97)</f>
        <v>115210</v>
      </c>
      <c r="F97" s="106">
        <f t="shared" si="4"/>
        <v>0</v>
      </c>
      <c r="G97" s="106">
        <f t="shared" si="5"/>
        <v>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5"/>
      <c r="AJ97" s="85"/>
      <c r="AK97" s="85"/>
      <c r="AL97" s="85"/>
      <c r="AM97" s="85"/>
    </row>
    <row r="98" spans="1:39" s="13" customFormat="1" ht="19.5" thickBot="1" x14ac:dyDescent="0.35">
      <c r="A98" s="249">
        <v>1510</v>
      </c>
      <c r="B98" s="59" t="s">
        <v>271</v>
      </c>
      <c r="C98" s="291">
        <v>259849</v>
      </c>
      <c r="D98" s="274"/>
      <c r="E98" s="106"/>
      <c r="F98" s="106">
        <f t="shared" si="4"/>
        <v>259849</v>
      </c>
      <c r="G98" s="106">
        <f t="shared" si="5"/>
        <v>0</v>
      </c>
      <c r="H98" s="84"/>
      <c r="I98" s="84"/>
      <c r="J98" s="84"/>
      <c r="K98" s="84"/>
      <c r="L98" s="84"/>
      <c r="M98" s="84">
        <v>35041</v>
      </c>
      <c r="N98" s="84">
        <v>13682</v>
      </c>
      <c r="O98" s="84">
        <v>19463</v>
      </c>
      <c r="P98" s="84">
        <v>97579</v>
      </c>
      <c r="Q98" s="84"/>
      <c r="R98" s="84"/>
      <c r="S98" s="84">
        <v>28022</v>
      </c>
      <c r="T98" s="84"/>
      <c r="U98" s="84"/>
      <c r="V98" s="84">
        <v>45499</v>
      </c>
      <c r="W98" s="84"/>
      <c r="X98" s="84"/>
      <c r="Y98" s="84">
        <v>20563</v>
      </c>
      <c r="Z98" s="84"/>
      <c r="AA98" s="84"/>
      <c r="AB98" s="84"/>
      <c r="AC98" s="84"/>
      <c r="AD98" s="84"/>
      <c r="AE98" s="84"/>
      <c r="AF98" s="84"/>
      <c r="AG98" s="84"/>
      <c r="AH98" s="84"/>
      <c r="AI98" s="85"/>
      <c r="AJ98" s="85"/>
      <c r="AK98" s="85"/>
      <c r="AL98" s="85"/>
      <c r="AM98" s="85"/>
    </row>
    <row r="99" spans="1:39" s="13" customFormat="1" ht="19.5" thickBot="1" x14ac:dyDescent="0.35">
      <c r="A99" s="249">
        <v>1520</v>
      </c>
      <c r="B99" s="59" t="s">
        <v>272</v>
      </c>
      <c r="C99" s="291">
        <v>426040</v>
      </c>
      <c r="D99" s="274"/>
      <c r="E99" s="106"/>
      <c r="F99" s="106">
        <f t="shared" si="4"/>
        <v>426040</v>
      </c>
      <c r="G99" s="106">
        <f t="shared" si="5"/>
        <v>0</v>
      </c>
      <c r="H99" s="84"/>
      <c r="I99" s="84"/>
      <c r="J99" s="84"/>
      <c r="K99" s="84"/>
      <c r="L99" s="84"/>
      <c r="M99" s="84"/>
      <c r="N99" s="84"/>
      <c r="O99" s="84">
        <v>121110</v>
      </c>
      <c r="P99" s="84">
        <v>66638</v>
      </c>
      <c r="Q99" s="84"/>
      <c r="R99" s="84">
        <v>66840</v>
      </c>
      <c r="S99" s="84">
        <v>66253</v>
      </c>
      <c r="T99" s="84"/>
      <c r="U99" s="84">
        <v>63894</v>
      </c>
      <c r="V99" s="84"/>
      <c r="W99" s="84"/>
      <c r="X99" s="84"/>
      <c r="Y99" s="84"/>
      <c r="Z99" s="84"/>
      <c r="AA99" s="84">
        <v>41305</v>
      </c>
      <c r="AB99" s="84"/>
      <c r="AC99" s="84"/>
      <c r="AD99" s="84"/>
      <c r="AE99" s="84"/>
      <c r="AF99" s="84"/>
      <c r="AG99" s="84"/>
      <c r="AH99" s="84"/>
      <c r="AI99" s="85"/>
      <c r="AJ99" s="85"/>
      <c r="AK99" s="85"/>
      <c r="AL99" s="85"/>
      <c r="AM99" s="85"/>
    </row>
    <row r="100" spans="1:39" s="13" customFormat="1" ht="19.5" thickBot="1" x14ac:dyDescent="0.35">
      <c r="A100" s="249">
        <v>1530</v>
      </c>
      <c r="B100" s="59" t="s">
        <v>273</v>
      </c>
      <c r="C100" s="291">
        <v>85193</v>
      </c>
      <c r="D100" s="274"/>
      <c r="E100" s="106"/>
      <c r="F100" s="106">
        <f t="shared" si="4"/>
        <v>85193</v>
      </c>
      <c r="G100" s="106">
        <f t="shared" si="5"/>
        <v>0</v>
      </c>
      <c r="H100" s="84"/>
      <c r="I100" s="84"/>
      <c r="J100" s="84"/>
      <c r="K100" s="84"/>
      <c r="L100" s="84"/>
      <c r="M100" s="84"/>
      <c r="N100" s="84"/>
      <c r="O100" s="84"/>
      <c r="P100" s="84">
        <v>43094</v>
      </c>
      <c r="Q100" s="84"/>
      <c r="R100" s="84"/>
      <c r="S100" s="84">
        <v>38553</v>
      </c>
      <c r="T100" s="84"/>
      <c r="U100" s="84"/>
      <c r="V100" s="84"/>
      <c r="W100" s="84"/>
      <c r="X100" s="84"/>
      <c r="Y100" s="84"/>
      <c r="Z100" s="84"/>
      <c r="AA100" s="84"/>
      <c r="AB100" s="84">
        <v>3546</v>
      </c>
      <c r="AC100" s="84"/>
      <c r="AD100" s="84"/>
      <c r="AE100" s="84"/>
      <c r="AF100" s="84"/>
      <c r="AG100" s="84"/>
      <c r="AH100" s="84"/>
      <c r="AI100" s="85"/>
      <c r="AJ100" s="85"/>
      <c r="AK100" s="85"/>
      <c r="AL100" s="85"/>
      <c r="AM100" s="85"/>
    </row>
    <row r="101" spans="1:39" s="13" customFormat="1" ht="19.5" thickBot="1" x14ac:dyDescent="0.35">
      <c r="A101" s="249">
        <v>1540</v>
      </c>
      <c r="B101" s="59" t="s">
        <v>274</v>
      </c>
      <c r="C101" s="291">
        <v>193011</v>
      </c>
      <c r="D101" s="274"/>
      <c r="E101" s="106"/>
      <c r="F101" s="106">
        <f t="shared" si="4"/>
        <v>193011</v>
      </c>
      <c r="G101" s="106">
        <f t="shared" si="5"/>
        <v>0</v>
      </c>
      <c r="H101" s="84"/>
      <c r="I101" s="84"/>
      <c r="J101" s="84"/>
      <c r="K101" s="84"/>
      <c r="L101" s="84">
        <v>46698</v>
      </c>
      <c r="M101" s="84"/>
      <c r="N101" s="84"/>
      <c r="O101" s="84"/>
      <c r="P101" s="84">
        <v>30688</v>
      </c>
      <c r="Q101" s="84"/>
      <c r="R101" s="84"/>
      <c r="S101" s="84">
        <v>43798</v>
      </c>
      <c r="T101" s="84"/>
      <c r="U101" s="84"/>
      <c r="V101" s="84">
        <v>43590</v>
      </c>
      <c r="W101" s="84"/>
      <c r="X101" s="84"/>
      <c r="Y101" s="84"/>
      <c r="Z101" s="84">
        <v>28237</v>
      </c>
      <c r="AA101" s="84"/>
      <c r="AB101" s="84"/>
      <c r="AC101" s="84"/>
      <c r="AD101" s="84"/>
      <c r="AE101" s="84"/>
      <c r="AF101" s="84"/>
      <c r="AG101" s="84"/>
      <c r="AH101" s="84"/>
      <c r="AI101" s="85"/>
      <c r="AJ101" s="85"/>
      <c r="AK101" s="85"/>
      <c r="AL101" s="85"/>
      <c r="AM101" s="85"/>
    </row>
    <row r="102" spans="1:39" s="13" customFormat="1" ht="19.5" thickBot="1" x14ac:dyDescent="0.35">
      <c r="A102" s="249">
        <v>1550</v>
      </c>
      <c r="B102" s="59" t="s">
        <v>275</v>
      </c>
      <c r="C102" s="291">
        <v>2645969</v>
      </c>
      <c r="D102" s="274"/>
      <c r="E102" s="106"/>
      <c r="F102" s="106">
        <f t="shared" si="4"/>
        <v>2645969</v>
      </c>
      <c r="G102" s="106">
        <f t="shared" si="5"/>
        <v>0</v>
      </c>
      <c r="H102" s="84"/>
      <c r="I102" s="84"/>
      <c r="J102" s="84"/>
      <c r="K102" s="84"/>
      <c r="L102" s="84"/>
      <c r="M102" s="84"/>
      <c r="N102" s="84"/>
      <c r="O102" s="84"/>
      <c r="P102" s="84">
        <v>339444</v>
      </c>
      <c r="Q102" s="84"/>
      <c r="R102" s="84">
        <v>473802</v>
      </c>
      <c r="S102" s="84"/>
      <c r="T102" s="84">
        <v>491934</v>
      </c>
      <c r="U102" s="84"/>
      <c r="V102" s="84">
        <v>238236</v>
      </c>
      <c r="W102" s="84"/>
      <c r="X102" s="84">
        <f>448738+330080</f>
        <v>778818</v>
      </c>
      <c r="Y102" s="84"/>
      <c r="Z102" s="84"/>
      <c r="AA102" s="84"/>
      <c r="AB102" s="84">
        <v>323735</v>
      </c>
      <c r="AC102" s="84"/>
      <c r="AD102" s="84"/>
      <c r="AE102" s="84"/>
      <c r="AF102" s="84"/>
      <c r="AG102" s="84"/>
      <c r="AH102" s="84"/>
      <c r="AI102" s="85"/>
      <c r="AJ102" s="85"/>
      <c r="AK102" s="85"/>
      <c r="AL102" s="85"/>
      <c r="AM102" s="85"/>
    </row>
    <row r="103" spans="1:39" s="13" customFormat="1" ht="19.5" thickBot="1" x14ac:dyDescent="0.35">
      <c r="A103" s="249">
        <v>1560</v>
      </c>
      <c r="B103" s="59" t="s">
        <v>276</v>
      </c>
      <c r="C103" s="291">
        <v>1534823</v>
      </c>
      <c r="D103" s="274"/>
      <c r="E103" s="106"/>
      <c r="F103" s="106">
        <f t="shared" si="4"/>
        <v>1534823</v>
      </c>
      <c r="G103" s="106">
        <f t="shared" si="5"/>
        <v>0</v>
      </c>
      <c r="H103" s="84"/>
      <c r="I103" s="84"/>
      <c r="J103" s="84"/>
      <c r="K103" s="84"/>
      <c r="L103" s="84"/>
      <c r="M103" s="84">
        <v>19581</v>
      </c>
      <c r="N103" s="84">
        <v>131941</v>
      </c>
      <c r="O103" s="84">
        <v>169982</v>
      </c>
      <c r="P103" s="84">
        <v>87537</v>
      </c>
      <c r="Q103" s="84">
        <v>165070</v>
      </c>
      <c r="R103" s="84">
        <v>130640</v>
      </c>
      <c r="S103" s="84">
        <f>276715+142097</f>
        <v>418812</v>
      </c>
      <c r="T103" s="200"/>
      <c r="U103" s="84">
        <v>-16944</v>
      </c>
      <c r="V103" s="84">
        <v>98769</v>
      </c>
      <c r="W103" s="84"/>
      <c r="X103" s="84">
        <v>175971</v>
      </c>
      <c r="Y103" s="84">
        <v>153464</v>
      </c>
      <c r="Z103" s="84"/>
      <c r="AA103" s="84"/>
      <c r="AB103" s="84"/>
      <c r="AC103" s="84"/>
      <c r="AD103" s="84"/>
      <c r="AE103" s="84"/>
      <c r="AF103" s="84"/>
      <c r="AG103" s="84"/>
      <c r="AH103" s="84"/>
      <c r="AI103" s="85"/>
      <c r="AJ103" s="85"/>
      <c r="AK103" s="85"/>
      <c r="AL103" s="85"/>
      <c r="AM103" s="85"/>
    </row>
    <row r="104" spans="1:39" s="13" customFormat="1" ht="19.5" thickBot="1" x14ac:dyDescent="0.35">
      <c r="A104" s="249">
        <v>1570</v>
      </c>
      <c r="B104" s="59" t="s">
        <v>277</v>
      </c>
      <c r="C104" s="291">
        <v>85162</v>
      </c>
      <c r="D104" s="274"/>
      <c r="E104" s="106"/>
      <c r="F104" s="106">
        <f t="shared" si="4"/>
        <v>85162</v>
      </c>
      <c r="G104" s="106">
        <f t="shared" si="5"/>
        <v>0</v>
      </c>
      <c r="H104" s="84"/>
      <c r="I104" s="84"/>
      <c r="J104" s="84"/>
      <c r="K104" s="84"/>
      <c r="L104" s="84"/>
      <c r="M104" s="84"/>
      <c r="N104" s="84">
        <v>8122</v>
      </c>
      <c r="O104" s="84"/>
      <c r="P104" s="84">
        <v>13966</v>
      </c>
      <c r="Q104" s="84">
        <v>6984</v>
      </c>
      <c r="R104" s="84">
        <v>6983</v>
      </c>
      <c r="S104" s="84"/>
      <c r="T104" s="84">
        <v>15966</v>
      </c>
      <c r="U104" s="84"/>
      <c r="V104" s="84"/>
      <c r="W104" s="84">
        <v>6501</v>
      </c>
      <c r="X104" s="84"/>
      <c r="Y104" s="84">
        <v>26640</v>
      </c>
      <c r="Z104" s="84"/>
      <c r="AA104" s="84"/>
      <c r="AB104" s="84"/>
      <c r="AC104" s="84"/>
      <c r="AD104" s="84"/>
      <c r="AE104" s="84"/>
      <c r="AF104" s="84"/>
      <c r="AG104" s="84"/>
      <c r="AH104" s="84"/>
      <c r="AI104" s="85"/>
      <c r="AJ104" s="85"/>
      <c r="AK104" s="85"/>
      <c r="AL104" s="85"/>
      <c r="AM104" s="85"/>
    </row>
    <row r="105" spans="1:39" s="13" customFormat="1" ht="19.5" thickBot="1" x14ac:dyDescent="0.35">
      <c r="A105" s="249">
        <v>1580</v>
      </c>
      <c r="B105" s="59" t="s">
        <v>278</v>
      </c>
      <c r="C105" s="291">
        <v>347718</v>
      </c>
      <c r="D105" s="274"/>
      <c r="E105" s="106"/>
      <c r="F105" s="106">
        <f t="shared" si="4"/>
        <v>347718</v>
      </c>
      <c r="G105" s="106">
        <f t="shared" si="5"/>
        <v>0</v>
      </c>
      <c r="H105" s="84"/>
      <c r="I105" s="84"/>
      <c r="J105" s="84"/>
      <c r="K105" s="84"/>
      <c r="L105" s="84">
        <v>38435</v>
      </c>
      <c r="M105" s="84">
        <v>41600</v>
      </c>
      <c r="N105" s="84">
        <v>20108</v>
      </c>
      <c r="O105" s="84"/>
      <c r="P105" s="84">
        <v>34700</v>
      </c>
      <c r="Q105" s="84">
        <v>55428</v>
      </c>
      <c r="R105" s="84">
        <v>56824</v>
      </c>
      <c r="S105" s="84">
        <f>58154+21259</f>
        <v>79413</v>
      </c>
      <c r="T105" s="84"/>
      <c r="U105" s="84"/>
      <c r="V105" s="84">
        <v>20054</v>
      </c>
      <c r="W105" s="84"/>
      <c r="X105" s="84"/>
      <c r="Y105" s="84"/>
      <c r="Z105" s="84"/>
      <c r="AA105" s="84">
        <v>1156</v>
      </c>
      <c r="AB105" s="84"/>
      <c r="AC105" s="84"/>
      <c r="AD105" s="84"/>
      <c r="AE105" s="84"/>
      <c r="AF105" s="84"/>
      <c r="AG105" s="84"/>
      <c r="AH105" s="84"/>
      <c r="AI105" s="85"/>
      <c r="AJ105" s="85"/>
      <c r="AK105" s="85"/>
      <c r="AL105" s="85"/>
      <c r="AM105" s="85"/>
    </row>
    <row r="106" spans="1:39" s="13" customFormat="1" ht="19.5" thickBot="1" x14ac:dyDescent="0.35">
      <c r="A106" s="249">
        <v>1590</v>
      </c>
      <c r="B106" s="59" t="s">
        <v>279</v>
      </c>
      <c r="C106" s="291">
        <v>40106</v>
      </c>
      <c r="D106" s="274"/>
      <c r="E106" s="106"/>
      <c r="F106" s="106">
        <f t="shared" si="4"/>
        <v>40106</v>
      </c>
      <c r="G106" s="106">
        <f t="shared" si="5"/>
        <v>0</v>
      </c>
      <c r="H106" s="84"/>
      <c r="I106" s="84"/>
      <c r="J106" s="84"/>
      <c r="K106" s="84"/>
      <c r="L106" s="84"/>
      <c r="M106" s="84"/>
      <c r="N106" s="84"/>
      <c r="O106" s="84"/>
      <c r="P106" s="84">
        <v>40106</v>
      </c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5"/>
      <c r="AJ106" s="85"/>
      <c r="AK106" s="85"/>
      <c r="AL106" s="85"/>
      <c r="AM106" s="85"/>
    </row>
    <row r="107" spans="1:39" s="13" customFormat="1" ht="19.5" thickBot="1" x14ac:dyDescent="0.35">
      <c r="A107" s="249">
        <v>1600</v>
      </c>
      <c r="B107" s="59" t="s">
        <v>280</v>
      </c>
      <c r="C107" s="291">
        <v>31715</v>
      </c>
      <c r="D107" s="274"/>
      <c r="E107" s="106"/>
      <c r="F107" s="106">
        <f t="shared" si="4"/>
        <v>31715</v>
      </c>
      <c r="G107" s="106">
        <f t="shared" si="5"/>
        <v>0</v>
      </c>
      <c r="H107" s="84"/>
      <c r="I107" s="84"/>
      <c r="J107" s="84"/>
      <c r="K107" s="84"/>
      <c r="L107" s="84"/>
      <c r="M107" s="84"/>
      <c r="N107" s="84"/>
      <c r="O107" s="84">
        <v>30507</v>
      </c>
      <c r="P107" s="84">
        <v>1208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5"/>
      <c r="AJ107" s="85"/>
      <c r="AK107" s="85"/>
      <c r="AL107" s="85"/>
      <c r="AM107" s="85"/>
    </row>
    <row r="108" spans="1:39" s="13" customFormat="1" ht="19.5" thickBot="1" x14ac:dyDescent="0.35">
      <c r="A108" s="249">
        <v>1620</v>
      </c>
      <c r="B108" s="59" t="s">
        <v>281</v>
      </c>
      <c r="C108" s="291">
        <v>104053</v>
      </c>
      <c r="D108" s="274"/>
      <c r="E108" s="106"/>
      <c r="F108" s="106">
        <f t="shared" si="4"/>
        <v>104053</v>
      </c>
      <c r="G108" s="106">
        <f t="shared" si="5"/>
        <v>0</v>
      </c>
      <c r="H108" s="84"/>
      <c r="I108" s="84"/>
      <c r="J108" s="84"/>
      <c r="K108" s="84"/>
      <c r="L108" s="84">
        <v>42563</v>
      </c>
      <c r="M108" s="84"/>
      <c r="N108" s="84"/>
      <c r="O108" s="84"/>
      <c r="P108" s="84">
        <v>34373</v>
      </c>
      <c r="Q108" s="84"/>
      <c r="R108" s="84"/>
      <c r="S108" s="84">
        <v>27117</v>
      </c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5"/>
      <c r="AJ108" s="85"/>
      <c r="AK108" s="85"/>
      <c r="AL108" s="85"/>
      <c r="AM108" s="85"/>
    </row>
    <row r="109" spans="1:39" s="13" customFormat="1" ht="19.5" thickBot="1" x14ac:dyDescent="0.35">
      <c r="A109" s="249">
        <v>1750</v>
      </c>
      <c r="B109" s="59" t="s">
        <v>409</v>
      </c>
      <c r="C109" s="291">
        <v>14514</v>
      </c>
      <c r="D109" s="274"/>
      <c r="E109" s="106"/>
      <c r="F109" s="106">
        <f t="shared" ref="F109:F140" si="6">SUM(H109:AH109)</f>
        <v>14803</v>
      </c>
      <c r="G109" s="106">
        <f t="shared" ref="G109:G140" si="7">IF(ISBLANK(E109),C109-F109,C109-E109)</f>
        <v>-289</v>
      </c>
      <c r="H109" s="84"/>
      <c r="I109" s="84"/>
      <c r="J109" s="84"/>
      <c r="K109" s="84">
        <v>2466</v>
      </c>
      <c r="L109" s="84"/>
      <c r="M109" s="84">
        <v>2466</v>
      </c>
      <c r="N109" s="84"/>
      <c r="O109" s="84">
        <v>2057</v>
      </c>
      <c r="P109" s="84"/>
      <c r="Q109" s="84">
        <v>2312</v>
      </c>
      <c r="R109" s="84"/>
      <c r="S109" s="84">
        <v>4345</v>
      </c>
      <c r="T109" s="84"/>
      <c r="U109" s="84">
        <v>1157</v>
      </c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5"/>
      <c r="AJ109" s="85"/>
      <c r="AK109" s="85"/>
      <c r="AL109" s="85"/>
      <c r="AM109" s="85"/>
    </row>
    <row r="110" spans="1:39" s="13" customFormat="1" ht="19.5" thickBot="1" x14ac:dyDescent="0.35">
      <c r="A110" s="249">
        <v>1760</v>
      </c>
      <c r="B110" s="59" t="s">
        <v>283</v>
      </c>
      <c r="C110" s="291">
        <v>18285</v>
      </c>
      <c r="D110" s="274"/>
      <c r="E110" s="106"/>
      <c r="F110" s="106">
        <f t="shared" si="6"/>
        <v>18285</v>
      </c>
      <c r="G110" s="106">
        <f t="shared" si="7"/>
        <v>0</v>
      </c>
      <c r="H110" s="84"/>
      <c r="I110" s="84"/>
      <c r="J110" s="84"/>
      <c r="K110" s="84"/>
      <c r="L110" s="84"/>
      <c r="M110" s="84">
        <v>4962</v>
      </c>
      <c r="N110" s="84"/>
      <c r="O110" s="84"/>
      <c r="P110" s="84"/>
      <c r="Q110" s="84">
        <v>8296</v>
      </c>
      <c r="R110" s="84"/>
      <c r="S110" s="84">
        <v>5027</v>
      </c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5"/>
      <c r="AJ110" s="85"/>
      <c r="AK110" s="85"/>
      <c r="AL110" s="85"/>
      <c r="AM110" s="85"/>
    </row>
    <row r="111" spans="1:39" s="13" customFormat="1" ht="19.5" thickBot="1" x14ac:dyDescent="0.35">
      <c r="A111" s="249">
        <v>1780</v>
      </c>
      <c r="B111" s="59" t="s">
        <v>284</v>
      </c>
      <c r="C111" s="291">
        <v>50527</v>
      </c>
      <c r="D111" s="274">
        <v>9025</v>
      </c>
      <c r="E111" s="106">
        <f>IF(ISBLANK(D111),,C111)</f>
        <v>50527</v>
      </c>
      <c r="F111" s="106">
        <f t="shared" si="6"/>
        <v>0</v>
      </c>
      <c r="G111" s="106">
        <f t="shared" si="7"/>
        <v>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5"/>
      <c r="AJ111" s="85"/>
      <c r="AK111" s="85"/>
      <c r="AL111" s="85"/>
      <c r="AM111" s="85"/>
    </row>
    <row r="112" spans="1:39" s="13" customFormat="1" ht="19.5" thickBot="1" x14ac:dyDescent="0.35">
      <c r="A112" s="249">
        <v>1790</v>
      </c>
      <c r="B112" s="59" t="s">
        <v>285</v>
      </c>
      <c r="C112" s="291">
        <v>70684</v>
      </c>
      <c r="D112" s="274">
        <v>9025</v>
      </c>
      <c r="E112" s="106">
        <f>IF(ISBLANK(D112),,C112)</f>
        <v>70684</v>
      </c>
      <c r="F112" s="106">
        <f t="shared" si="6"/>
        <v>0</v>
      </c>
      <c r="G112" s="106">
        <f t="shared" si="7"/>
        <v>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5"/>
      <c r="AJ112" s="85"/>
      <c r="AK112" s="85"/>
      <c r="AL112" s="85"/>
      <c r="AM112" s="85"/>
    </row>
    <row r="113" spans="1:39" s="13" customFormat="1" ht="19.5" thickBot="1" x14ac:dyDescent="0.35">
      <c r="A113" s="249">
        <v>1810</v>
      </c>
      <c r="B113" s="59" t="s">
        <v>286</v>
      </c>
      <c r="C113" s="291">
        <v>17580</v>
      </c>
      <c r="D113" s="274">
        <v>9025</v>
      </c>
      <c r="E113" s="106">
        <f>IF(ISBLANK(D113),,C113)</f>
        <v>17580</v>
      </c>
      <c r="F113" s="106">
        <f t="shared" si="6"/>
        <v>0</v>
      </c>
      <c r="G113" s="106">
        <f t="shared" si="7"/>
        <v>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5"/>
      <c r="AJ113" s="85"/>
      <c r="AK113" s="85"/>
      <c r="AL113" s="85"/>
      <c r="AM113" s="85"/>
    </row>
    <row r="114" spans="1:39" s="13" customFormat="1" ht="19.5" thickBot="1" x14ac:dyDescent="0.35">
      <c r="A114" s="249">
        <v>1828</v>
      </c>
      <c r="B114" s="59" t="s">
        <v>287</v>
      </c>
      <c r="C114" s="291">
        <v>424998</v>
      </c>
      <c r="D114" s="274"/>
      <c r="E114" s="106"/>
      <c r="F114" s="106">
        <f t="shared" si="6"/>
        <v>424998</v>
      </c>
      <c r="G114" s="106">
        <f t="shared" si="7"/>
        <v>0</v>
      </c>
      <c r="H114" s="84"/>
      <c r="I114" s="84"/>
      <c r="J114" s="84"/>
      <c r="K114" s="84"/>
      <c r="L114" s="84"/>
      <c r="M114" s="84">
        <f>97399+39546</f>
        <v>136945</v>
      </c>
      <c r="N114" s="84">
        <v>13532</v>
      </c>
      <c r="O114" s="84">
        <v>30230</v>
      </c>
      <c r="P114" s="84">
        <v>28595</v>
      </c>
      <c r="Q114" s="84">
        <v>33526</v>
      </c>
      <c r="R114" s="84">
        <v>29631</v>
      </c>
      <c r="S114" s="84">
        <v>35260</v>
      </c>
      <c r="T114" s="84">
        <v>34059</v>
      </c>
      <c r="U114" s="84"/>
      <c r="V114" s="84">
        <v>43088</v>
      </c>
      <c r="W114" s="84"/>
      <c r="X114" s="84"/>
      <c r="Y114" s="84">
        <v>40132</v>
      </c>
      <c r="Z114" s="84"/>
      <c r="AA114" s="84"/>
      <c r="AB114" s="84"/>
      <c r="AC114" s="84"/>
      <c r="AD114" s="84"/>
      <c r="AE114" s="84"/>
      <c r="AF114" s="84"/>
      <c r="AG114" s="84"/>
      <c r="AH114" s="84"/>
      <c r="AI114" s="85"/>
      <c r="AJ114" s="85"/>
      <c r="AK114" s="85"/>
      <c r="AL114" s="85"/>
      <c r="AM114" s="85"/>
    </row>
    <row r="115" spans="1:39" s="13" customFormat="1" ht="19.5" thickBot="1" x14ac:dyDescent="0.35">
      <c r="A115" s="249">
        <v>1850</v>
      </c>
      <c r="B115" s="59" t="s">
        <v>288</v>
      </c>
      <c r="C115" s="291">
        <v>43807</v>
      </c>
      <c r="D115" s="274">
        <v>9040</v>
      </c>
      <c r="E115" s="106">
        <f>IF(ISBLANK(D115),,C115)</f>
        <v>43807</v>
      </c>
      <c r="F115" s="106">
        <f t="shared" si="6"/>
        <v>0</v>
      </c>
      <c r="G115" s="106">
        <f t="shared" si="7"/>
        <v>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5"/>
      <c r="AJ115" s="85"/>
      <c r="AK115" s="85"/>
      <c r="AL115" s="85"/>
      <c r="AM115" s="85"/>
    </row>
    <row r="116" spans="1:39" s="13" customFormat="1" ht="19.5" thickBot="1" x14ac:dyDescent="0.35">
      <c r="A116" s="249">
        <v>1860</v>
      </c>
      <c r="B116" s="59" t="s">
        <v>289</v>
      </c>
      <c r="C116" s="291">
        <v>22164</v>
      </c>
      <c r="D116" s="274">
        <v>9040</v>
      </c>
      <c r="E116" s="106">
        <f>IF(ISBLANK(D116),,C116)</f>
        <v>22164</v>
      </c>
      <c r="F116" s="106">
        <f t="shared" si="6"/>
        <v>0</v>
      </c>
      <c r="G116" s="106">
        <f t="shared" si="7"/>
        <v>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5"/>
      <c r="AJ116" s="85"/>
      <c r="AK116" s="85"/>
      <c r="AL116" s="85"/>
      <c r="AM116" s="85"/>
    </row>
    <row r="117" spans="1:39" s="13" customFormat="1" ht="19.5" thickBot="1" x14ac:dyDescent="0.35">
      <c r="A117" s="249">
        <v>1870</v>
      </c>
      <c r="B117" s="59" t="s">
        <v>290</v>
      </c>
      <c r="C117" s="291">
        <v>23971</v>
      </c>
      <c r="D117" s="274">
        <v>9040</v>
      </c>
      <c r="E117" s="106">
        <f>IF(ISBLANK(D117),,C117)</f>
        <v>23971</v>
      </c>
      <c r="F117" s="106">
        <f t="shared" si="6"/>
        <v>0</v>
      </c>
      <c r="G117" s="106">
        <f t="shared" si="7"/>
        <v>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5"/>
      <c r="AJ117" s="85"/>
      <c r="AK117" s="85"/>
      <c r="AL117" s="85"/>
      <c r="AM117" s="85"/>
    </row>
    <row r="118" spans="1:39" s="13" customFormat="1" ht="19.5" thickBot="1" x14ac:dyDescent="0.35">
      <c r="A118" s="249">
        <v>1980</v>
      </c>
      <c r="B118" s="59" t="s">
        <v>291</v>
      </c>
      <c r="C118" s="291">
        <v>27253</v>
      </c>
      <c r="D118" s="274"/>
      <c r="E118" s="106"/>
      <c r="F118" s="106">
        <f t="shared" si="6"/>
        <v>27253</v>
      </c>
      <c r="G118" s="106">
        <f t="shared" si="7"/>
        <v>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>
        <v>27253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5"/>
      <c r="AJ118" s="85"/>
      <c r="AK118" s="85"/>
      <c r="AL118" s="85"/>
      <c r="AM118" s="85"/>
    </row>
    <row r="119" spans="1:39" s="13" customFormat="1" ht="19.5" thickBot="1" x14ac:dyDescent="0.35">
      <c r="A119" s="249">
        <v>1990</v>
      </c>
      <c r="B119" s="59" t="s">
        <v>292</v>
      </c>
      <c r="C119" s="291">
        <v>80619</v>
      </c>
      <c r="D119" s="274"/>
      <c r="E119" s="106"/>
      <c r="F119" s="106">
        <f t="shared" si="6"/>
        <v>80619</v>
      </c>
      <c r="G119" s="106">
        <f t="shared" si="7"/>
        <v>0</v>
      </c>
      <c r="H119" s="84"/>
      <c r="I119" s="84"/>
      <c r="J119" s="84"/>
      <c r="K119" s="84">
        <v>16522</v>
      </c>
      <c r="L119" s="84">
        <f>6414+6240</f>
        <v>12654</v>
      </c>
      <c r="M119" s="84"/>
      <c r="N119" s="84">
        <f>6957+6359</f>
        <v>13316</v>
      </c>
      <c r="O119" s="84"/>
      <c r="P119" s="84">
        <v>6359</v>
      </c>
      <c r="Q119" s="84">
        <f>6359+6359</f>
        <v>12718</v>
      </c>
      <c r="R119" s="84"/>
      <c r="S119" s="84">
        <f>6337+6461</f>
        <v>12798</v>
      </c>
      <c r="T119" s="84">
        <v>6252</v>
      </c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5"/>
      <c r="AJ119" s="85"/>
      <c r="AK119" s="85"/>
      <c r="AL119" s="85"/>
      <c r="AM119" s="85"/>
    </row>
    <row r="120" spans="1:39" s="13" customFormat="1" ht="19.5" thickBot="1" x14ac:dyDescent="0.35">
      <c r="A120" s="249">
        <v>2000</v>
      </c>
      <c r="B120" s="59" t="s">
        <v>293</v>
      </c>
      <c r="C120" s="291">
        <v>3357182</v>
      </c>
      <c r="D120" s="274"/>
      <c r="E120" s="106"/>
      <c r="F120" s="106">
        <f t="shared" si="6"/>
        <v>3357182</v>
      </c>
      <c r="G120" s="106">
        <f t="shared" si="7"/>
        <v>0</v>
      </c>
      <c r="H120" s="84"/>
      <c r="I120" s="84"/>
      <c r="J120" s="84"/>
      <c r="K120" s="84"/>
      <c r="L120" s="84"/>
      <c r="M120" s="84"/>
      <c r="N120" s="84"/>
      <c r="O120" s="84">
        <v>623181</v>
      </c>
      <c r="P120" s="84">
        <v>294744</v>
      </c>
      <c r="Q120" s="84">
        <v>411700</v>
      </c>
      <c r="R120" s="84">
        <v>338600</v>
      </c>
      <c r="S120" s="84">
        <f>317629+255908</f>
        <v>573537</v>
      </c>
      <c r="T120" s="84"/>
      <c r="U120" s="84">
        <v>276885</v>
      </c>
      <c r="V120" s="84">
        <v>126374</v>
      </c>
      <c r="W120" s="84"/>
      <c r="X120" s="84"/>
      <c r="Y120" s="84">
        <v>712161</v>
      </c>
      <c r="Z120" s="84"/>
      <c r="AA120" s="84"/>
      <c r="AB120" s="84"/>
      <c r="AC120" s="84"/>
      <c r="AD120" s="84"/>
      <c r="AE120" s="84"/>
      <c r="AF120" s="84"/>
      <c r="AG120" s="84"/>
      <c r="AH120" s="84"/>
      <c r="AI120" s="85"/>
      <c r="AJ120" s="85"/>
      <c r="AK120" s="85"/>
      <c r="AL120" s="85"/>
      <c r="AM120" s="85"/>
    </row>
    <row r="121" spans="1:39" s="13" customFormat="1" ht="19.5" thickBot="1" x14ac:dyDescent="0.35">
      <c r="A121" s="249">
        <v>2010</v>
      </c>
      <c r="B121" s="59" t="s">
        <v>294</v>
      </c>
      <c r="C121" s="291">
        <v>14584</v>
      </c>
      <c r="D121" s="274"/>
      <c r="E121" s="106"/>
      <c r="F121" s="106">
        <f t="shared" si="6"/>
        <v>14584</v>
      </c>
      <c r="G121" s="106">
        <f t="shared" si="7"/>
        <v>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>
        <v>14211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>
        <v>373</v>
      </c>
      <c r="AE121" s="84"/>
      <c r="AF121" s="84"/>
      <c r="AG121" s="84"/>
      <c r="AH121" s="84"/>
      <c r="AI121" s="85"/>
      <c r="AJ121" s="85"/>
      <c r="AK121" s="85"/>
      <c r="AL121" s="85"/>
      <c r="AM121" s="85"/>
    </row>
    <row r="122" spans="1:39" s="13" customFormat="1" ht="19.5" thickBot="1" x14ac:dyDescent="0.35">
      <c r="A122" s="249">
        <v>2020</v>
      </c>
      <c r="B122" s="59" t="s">
        <v>295</v>
      </c>
      <c r="C122" s="291">
        <v>235076</v>
      </c>
      <c r="D122" s="274"/>
      <c r="E122" s="106"/>
      <c r="F122" s="106">
        <f t="shared" si="6"/>
        <v>235076</v>
      </c>
      <c r="G122" s="106">
        <f t="shared" si="7"/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>
        <v>212275</v>
      </c>
      <c r="T122" s="84"/>
      <c r="U122" s="84"/>
      <c r="V122" s="84"/>
      <c r="W122" s="84">
        <v>15105</v>
      </c>
      <c r="X122" s="84"/>
      <c r="Y122" s="84"/>
      <c r="Z122" s="84"/>
      <c r="AA122" s="84"/>
      <c r="AB122" s="84"/>
      <c r="AC122" s="84"/>
      <c r="AD122" s="84"/>
      <c r="AE122" s="84">
        <v>7696</v>
      </c>
      <c r="AF122" s="84"/>
      <c r="AG122" s="84"/>
      <c r="AH122" s="84"/>
      <c r="AI122" s="85"/>
      <c r="AJ122" s="85"/>
      <c r="AK122" s="85"/>
      <c r="AL122" s="85"/>
      <c r="AM122" s="85"/>
    </row>
    <row r="123" spans="1:39" s="13" customFormat="1" ht="19.5" thickBot="1" x14ac:dyDescent="0.35">
      <c r="A123" s="249">
        <v>2035</v>
      </c>
      <c r="B123" s="59" t="s">
        <v>296</v>
      </c>
      <c r="C123" s="291">
        <v>763667</v>
      </c>
      <c r="D123" s="274"/>
      <c r="E123" s="106"/>
      <c r="F123" s="106">
        <f t="shared" si="6"/>
        <v>763667</v>
      </c>
      <c r="G123" s="106">
        <f t="shared" si="7"/>
        <v>0</v>
      </c>
      <c r="H123" s="84"/>
      <c r="I123" s="84"/>
      <c r="J123" s="84"/>
      <c r="K123" s="84">
        <v>79752</v>
      </c>
      <c r="L123" s="84">
        <v>59569</v>
      </c>
      <c r="M123" s="84">
        <v>62198</v>
      </c>
      <c r="N123" s="84">
        <v>64485</v>
      </c>
      <c r="O123" s="84">
        <v>71538</v>
      </c>
      <c r="P123" s="84">
        <v>64232</v>
      </c>
      <c r="Q123" s="84">
        <v>68932</v>
      </c>
      <c r="R123" s="84">
        <v>59574</v>
      </c>
      <c r="S123" s="84">
        <v>69003</v>
      </c>
      <c r="T123" s="84">
        <v>63840</v>
      </c>
      <c r="U123" s="84">
        <v>66760</v>
      </c>
      <c r="V123" s="84">
        <v>33784</v>
      </c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5"/>
      <c r="AJ123" s="85"/>
      <c r="AK123" s="85"/>
      <c r="AL123" s="85"/>
      <c r="AM123" s="85"/>
    </row>
    <row r="124" spans="1:39" s="13" customFormat="1" ht="19.5" thickBot="1" x14ac:dyDescent="0.35">
      <c r="A124" s="249">
        <v>2055</v>
      </c>
      <c r="B124" s="59" t="s">
        <v>297</v>
      </c>
      <c r="C124" s="291">
        <v>100404</v>
      </c>
      <c r="D124" s="274"/>
      <c r="E124" s="106"/>
      <c r="F124" s="106">
        <f t="shared" si="6"/>
        <v>100404</v>
      </c>
      <c r="G124" s="106">
        <f t="shared" si="7"/>
        <v>0</v>
      </c>
      <c r="H124" s="84"/>
      <c r="I124" s="84"/>
      <c r="J124" s="84"/>
      <c r="K124" s="84"/>
      <c r="L124" s="84"/>
      <c r="M124" s="84"/>
      <c r="N124" s="84"/>
      <c r="O124" s="84"/>
      <c r="P124" s="84">
        <v>57115</v>
      </c>
      <c r="Q124" s="84"/>
      <c r="R124" s="84"/>
      <c r="S124" s="84">
        <v>43206</v>
      </c>
      <c r="T124" s="84"/>
      <c r="U124" s="84"/>
      <c r="V124" s="84"/>
      <c r="W124" s="84"/>
      <c r="X124" s="84"/>
      <c r="Y124" s="84"/>
      <c r="Z124" s="84"/>
      <c r="AA124" s="84">
        <v>83</v>
      </c>
      <c r="AB124" s="84"/>
      <c r="AC124" s="84"/>
      <c r="AD124" s="84"/>
      <c r="AE124" s="84"/>
      <c r="AF124" s="84"/>
      <c r="AG124" s="84"/>
      <c r="AH124" s="84"/>
      <c r="AI124" s="85"/>
      <c r="AJ124" s="85"/>
      <c r="AK124" s="85"/>
      <c r="AL124" s="85"/>
      <c r="AM124" s="85"/>
    </row>
    <row r="125" spans="1:39" s="13" customFormat="1" ht="19.5" thickBot="1" x14ac:dyDescent="0.35">
      <c r="A125" s="249">
        <v>2070</v>
      </c>
      <c r="B125" s="59" t="s">
        <v>298</v>
      </c>
      <c r="C125" s="291">
        <v>73516</v>
      </c>
      <c r="D125" s="274"/>
      <c r="E125" s="106"/>
      <c r="F125" s="106">
        <f t="shared" si="6"/>
        <v>73516</v>
      </c>
      <c r="G125" s="106">
        <f t="shared" si="7"/>
        <v>0</v>
      </c>
      <c r="H125" s="84"/>
      <c r="I125" s="84"/>
      <c r="J125" s="84"/>
      <c r="K125" s="84"/>
      <c r="L125" s="84"/>
      <c r="M125" s="84"/>
      <c r="N125" s="84"/>
      <c r="O125" s="84">
        <v>37716</v>
      </c>
      <c r="P125" s="84"/>
      <c r="Q125" s="84"/>
      <c r="R125" s="84">
        <v>13615</v>
      </c>
      <c r="S125" s="84"/>
      <c r="T125" s="84">
        <v>16727</v>
      </c>
      <c r="U125" s="84"/>
      <c r="V125" s="84"/>
      <c r="W125" s="84"/>
      <c r="X125" s="84"/>
      <c r="Y125" s="84">
        <v>5458</v>
      </c>
      <c r="Z125" s="84"/>
      <c r="AA125" s="84"/>
      <c r="AB125" s="84"/>
      <c r="AC125" s="84"/>
      <c r="AD125" s="84"/>
      <c r="AE125" s="84"/>
      <c r="AF125" s="84"/>
      <c r="AG125" s="84"/>
      <c r="AH125" s="84"/>
      <c r="AI125" s="85"/>
      <c r="AJ125" s="85"/>
      <c r="AK125" s="85"/>
      <c r="AL125" s="85"/>
      <c r="AM125" s="85"/>
    </row>
    <row r="126" spans="1:39" s="13" customFormat="1" ht="19.5" thickBot="1" x14ac:dyDescent="0.35">
      <c r="A126" s="249">
        <v>2180</v>
      </c>
      <c r="B126" s="59" t="s">
        <v>299</v>
      </c>
      <c r="C126" s="291">
        <v>1204854</v>
      </c>
      <c r="D126" s="274"/>
      <c r="E126" s="106"/>
      <c r="F126" s="106">
        <f t="shared" si="6"/>
        <v>1204854</v>
      </c>
      <c r="G126" s="106">
        <f t="shared" si="7"/>
        <v>0</v>
      </c>
      <c r="H126" s="84"/>
      <c r="I126" s="84"/>
      <c r="J126" s="84"/>
      <c r="K126" s="84"/>
      <c r="L126" s="84">
        <v>70807</v>
      </c>
      <c r="M126" s="84">
        <v>124316</v>
      </c>
      <c r="N126" s="84">
        <v>100241</v>
      </c>
      <c r="O126" s="84">
        <v>100754</v>
      </c>
      <c r="P126" s="84">
        <v>102549</v>
      </c>
      <c r="Q126" s="84">
        <v>102219</v>
      </c>
      <c r="R126" s="84">
        <v>103545</v>
      </c>
      <c r="S126" s="84">
        <f>103416+100687</f>
        <v>204103</v>
      </c>
      <c r="T126" s="84"/>
      <c r="U126" s="84">
        <v>95376</v>
      </c>
      <c r="V126" s="84">
        <v>92791</v>
      </c>
      <c r="W126" s="84">
        <v>108153</v>
      </c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5"/>
      <c r="AJ126" s="85"/>
      <c r="AK126" s="85"/>
      <c r="AL126" s="85"/>
      <c r="AM126" s="85"/>
    </row>
    <row r="127" spans="1:39" s="13" customFormat="1" ht="19.5" thickBot="1" x14ac:dyDescent="0.35">
      <c r="A127" s="249">
        <v>2190</v>
      </c>
      <c r="B127" s="59" t="s">
        <v>300</v>
      </c>
      <c r="C127" s="291">
        <v>75427</v>
      </c>
      <c r="D127" s="274"/>
      <c r="E127" s="106"/>
      <c r="F127" s="106">
        <f t="shared" si="6"/>
        <v>74726</v>
      </c>
      <c r="G127" s="106">
        <f t="shared" si="7"/>
        <v>701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>
        <v>2610</v>
      </c>
      <c r="T127" s="84"/>
      <c r="U127" s="84"/>
      <c r="V127" s="84"/>
      <c r="W127" s="84"/>
      <c r="X127" s="84">
        <v>14295</v>
      </c>
      <c r="Y127" s="84"/>
      <c r="Z127" s="84">
        <v>15478</v>
      </c>
      <c r="AA127" s="84"/>
      <c r="AB127" s="84"/>
      <c r="AC127" s="84">
        <v>30130</v>
      </c>
      <c r="AD127" s="84"/>
      <c r="AE127" s="84">
        <v>8124</v>
      </c>
      <c r="AF127" s="84"/>
      <c r="AG127" s="84"/>
      <c r="AH127" s="84">
        <v>4089</v>
      </c>
      <c r="AI127" s="85"/>
      <c r="AJ127" s="85"/>
      <c r="AK127" s="85"/>
      <c r="AL127" s="85"/>
      <c r="AM127" s="85"/>
    </row>
    <row r="128" spans="1:39" s="13" customFormat="1" ht="19.5" thickBot="1" x14ac:dyDescent="0.35">
      <c r="A128" s="249">
        <v>2395</v>
      </c>
      <c r="B128" s="59" t="s">
        <v>301</v>
      </c>
      <c r="C128" s="291">
        <v>187358</v>
      </c>
      <c r="D128" s="274">
        <v>9035</v>
      </c>
      <c r="E128" s="106">
        <f>IF(ISBLANK(D128),,C128)</f>
        <v>187358</v>
      </c>
      <c r="F128" s="106">
        <f t="shared" si="6"/>
        <v>0</v>
      </c>
      <c r="G128" s="106">
        <f t="shared" si="7"/>
        <v>0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5"/>
      <c r="AJ128" s="85"/>
      <c r="AK128" s="85"/>
      <c r="AL128" s="85"/>
      <c r="AM128" s="85"/>
    </row>
    <row r="129" spans="1:39" s="13" customFormat="1" ht="19.5" thickBot="1" x14ac:dyDescent="0.35">
      <c r="A129" s="249">
        <v>2405</v>
      </c>
      <c r="B129" s="59" t="s">
        <v>302</v>
      </c>
      <c r="C129" s="291">
        <v>602178</v>
      </c>
      <c r="D129" s="274"/>
      <c r="E129" s="106"/>
      <c r="F129" s="106">
        <f t="shared" si="6"/>
        <v>602178</v>
      </c>
      <c r="G129" s="106">
        <f t="shared" si="7"/>
        <v>0</v>
      </c>
      <c r="H129" s="84"/>
      <c r="I129" s="84"/>
      <c r="J129" s="84"/>
      <c r="K129" s="84">
        <v>8612</v>
      </c>
      <c r="L129" s="84">
        <v>48062</v>
      </c>
      <c r="M129" s="84">
        <v>48315</v>
      </c>
      <c r="N129" s="84">
        <v>44185</v>
      </c>
      <c r="O129" s="84">
        <v>41397</v>
      </c>
      <c r="P129" s="84">
        <v>46910</v>
      </c>
      <c r="Q129" s="84">
        <v>47821</v>
      </c>
      <c r="R129" s="84">
        <v>45641</v>
      </c>
      <c r="S129" s="84">
        <v>49903</v>
      </c>
      <c r="T129" s="84">
        <v>41964</v>
      </c>
      <c r="U129" s="84">
        <v>33205</v>
      </c>
      <c r="V129" s="84">
        <v>28436</v>
      </c>
      <c r="W129" s="84">
        <v>56057</v>
      </c>
      <c r="X129" s="84">
        <v>43976</v>
      </c>
      <c r="Y129" s="84">
        <v>17694</v>
      </c>
      <c r="Z129" s="84"/>
      <c r="AA129" s="84"/>
      <c r="AB129" s="84"/>
      <c r="AC129" s="84"/>
      <c r="AD129" s="84"/>
      <c r="AE129" s="84"/>
      <c r="AF129" s="84"/>
      <c r="AG129" s="84"/>
      <c r="AH129" s="84"/>
      <c r="AI129" s="85"/>
      <c r="AJ129" s="85"/>
      <c r="AK129" s="85"/>
      <c r="AL129" s="85"/>
      <c r="AM129" s="85"/>
    </row>
    <row r="130" spans="1:39" s="13" customFormat="1" ht="19.5" thickBot="1" x14ac:dyDescent="0.35">
      <c r="A130" s="249">
        <v>2505</v>
      </c>
      <c r="B130" s="59" t="s">
        <v>303</v>
      </c>
      <c r="C130" s="291">
        <v>10654</v>
      </c>
      <c r="D130" s="274">
        <v>9035</v>
      </c>
      <c r="E130" s="106">
        <f>IF(ISBLANK(D130),,C130)</f>
        <v>10654</v>
      </c>
      <c r="F130" s="106">
        <f t="shared" si="6"/>
        <v>0</v>
      </c>
      <c r="G130" s="106">
        <f t="shared" si="7"/>
        <v>0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5"/>
      <c r="AJ130" s="85"/>
      <c r="AK130" s="85"/>
      <c r="AL130" s="85"/>
      <c r="AM130" s="85"/>
    </row>
    <row r="131" spans="1:39" s="13" customFormat="1" ht="19.5" thickBot="1" x14ac:dyDescent="0.35">
      <c r="A131" s="249">
        <v>2515</v>
      </c>
      <c r="B131" s="59" t="s">
        <v>304</v>
      </c>
      <c r="C131" s="291">
        <v>103718</v>
      </c>
      <c r="D131" s="274">
        <v>9035</v>
      </c>
      <c r="E131" s="106">
        <f>IF(ISBLANK(D131),,C131)</f>
        <v>103718</v>
      </c>
      <c r="F131" s="106">
        <f t="shared" si="6"/>
        <v>0</v>
      </c>
      <c r="G131" s="106">
        <f t="shared" si="7"/>
        <v>0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5"/>
      <c r="AJ131" s="85"/>
      <c r="AK131" s="85"/>
      <c r="AL131" s="85"/>
      <c r="AM131" s="85"/>
    </row>
    <row r="132" spans="1:39" s="13" customFormat="1" ht="19.5" thickBot="1" x14ac:dyDescent="0.35">
      <c r="A132" s="249">
        <v>2520</v>
      </c>
      <c r="B132" s="59" t="s">
        <v>305</v>
      </c>
      <c r="C132" s="291">
        <v>804836</v>
      </c>
      <c r="D132" s="274"/>
      <c r="E132" s="106"/>
      <c r="F132" s="106">
        <f t="shared" si="6"/>
        <v>804836</v>
      </c>
      <c r="G132" s="106">
        <f t="shared" si="7"/>
        <v>0</v>
      </c>
      <c r="H132" s="84"/>
      <c r="I132" s="84"/>
      <c r="J132" s="84"/>
      <c r="K132" s="84">
        <v>139636</v>
      </c>
      <c r="L132" s="84">
        <v>71189</v>
      </c>
      <c r="M132" s="84"/>
      <c r="N132" s="84">
        <f>10607+63677</f>
        <v>74284</v>
      </c>
      <c r="O132" s="84">
        <v>66635</v>
      </c>
      <c r="P132" s="84">
        <v>-10607</v>
      </c>
      <c r="Q132" s="84"/>
      <c r="R132" s="84">
        <f>106589+54592</f>
        <v>161181</v>
      </c>
      <c r="S132" s="84">
        <v>94947</v>
      </c>
      <c r="T132" s="84">
        <v>12034</v>
      </c>
      <c r="U132" s="84"/>
      <c r="V132" s="84"/>
      <c r="W132" s="84"/>
      <c r="X132" s="84">
        <f>57094+23827</f>
        <v>80921</v>
      </c>
      <c r="Y132" s="84"/>
      <c r="Z132" s="84">
        <v>114616</v>
      </c>
      <c r="AA132" s="84"/>
      <c r="AB132" s="84"/>
      <c r="AC132" s="84"/>
      <c r="AD132" s="84"/>
      <c r="AE132" s="84"/>
      <c r="AF132" s="84"/>
      <c r="AG132" s="84"/>
      <c r="AH132" s="84"/>
      <c r="AI132" s="85"/>
      <c r="AJ132" s="85"/>
      <c r="AK132" s="85"/>
      <c r="AL132" s="85"/>
      <c r="AM132" s="85"/>
    </row>
    <row r="133" spans="1:39" s="13" customFormat="1" ht="19.5" thickBot="1" x14ac:dyDescent="0.35">
      <c r="A133" s="249">
        <v>2530</v>
      </c>
      <c r="B133" s="59" t="s">
        <v>306</v>
      </c>
      <c r="C133" s="291">
        <v>564704</v>
      </c>
      <c r="D133" s="274"/>
      <c r="E133" s="106"/>
      <c r="F133" s="106">
        <f t="shared" si="6"/>
        <v>564704</v>
      </c>
      <c r="G133" s="106">
        <f t="shared" si="7"/>
        <v>0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>
        <v>152148</v>
      </c>
      <c r="S133" s="84">
        <v>73358</v>
      </c>
      <c r="T133" s="84"/>
      <c r="U133" s="84"/>
      <c r="V133" s="84"/>
      <c r="W133" s="84"/>
      <c r="X133" s="84"/>
      <c r="Y133" s="84"/>
      <c r="Z133" s="84"/>
      <c r="AA133" s="84"/>
      <c r="AB133" s="84"/>
      <c r="AC133" s="84">
        <v>339198</v>
      </c>
      <c r="AD133" s="84"/>
      <c r="AE133" s="84"/>
      <c r="AF133" s="84"/>
      <c r="AG133" s="84"/>
      <c r="AH133" s="84"/>
      <c r="AI133" s="85"/>
      <c r="AJ133" s="85"/>
      <c r="AK133" s="85"/>
      <c r="AL133" s="85"/>
      <c r="AM133" s="85"/>
    </row>
    <row r="134" spans="1:39" s="13" customFormat="1" ht="19.5" thickBot="1" x14ac:dyDescent="0.35">
      <c r="A134" s="249">
        <v>2535</v>
      </c>
      <c r="B134" s="59" t="s">
        <v>307</v>
      </c>
      <c r="C134" s="291">
        <v>123479</v>
      </c>
      <c r="D134" s="274"/>
      <c r="E134" s="106"/>
      <c r="F134" s="106">
        <f t="shared" si="6"/>
        <v>123479</v>
      </c>
      <c r="G134" s="106">
        <f t="shared" si="7"/>
        <v>0</v>
      </c>
      <c r="H134" s="84"/>
      <c r="I134" s="84"/>
      <c r="J134" s="84"/>
      <c r="K134" s="84"/>
      <c r="L134" s="84"/>
      <c r="M134" s="84">
        <v>27700</v>
      </c>
      <c r="N134" s="84"/>
      <c r="O134" s="84">
        <v>16245</v>
      </c>
      <c r="P134" s="84"/>
      <c r="Q134" s="84">
        <v>15239</v>
      </c>
      <c r="R134" s="84"/>
      <c r="S134" s="84"/>
      <c r="T134" s="84">
        <v>43788</v>
      </c>
      <c r="U134" s="84"/>
      <c r="V134" s="84">
        <v>20507</v>
      </c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5"/>
      <c r="AJ134" s="85"/>
      <c r="AK134" s="85"/>
      <c r="AL134" s="85"/>
      <c r="AM134" s="85"/>
    </row>
    <row r="135" spans="1:39" s="13" customFormat="1" ht="19.5" thickBot="1" x14ac:dyDescent="0.35">
      <c r="A135" s="249">
        <v>2540</v>
      </c>
      <c r="B135" s="59" t="s">
        <v>308</v>
      </c>
      <c r="C135" s="291">
        <v>95227</v>
      </c>
      <c r="D135" s="275"/>
      <c r="E135" s="106"/>
      <c r="F135" s="106">
        <f t="shared" si="6"/>
        <v>95227</v>
      </c>
      <c r="G135" s="106">
        <f t="shared" si="7"/>
        <v>0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>
        <v>75485</v>
      </c>
      <c r="T135" s="84"/>
      <c r="U135" s="84">
        <v>19742</v>
      </c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5"/>
      <c r="AJ135" s="85"/>
      <c r="AK135" s="85"/>
      <c r="AL135" s="85"/>
      <c r="AM135" s="85"/>
    </row>
    <row r="136" spans="1:39" s="13" customFormat="1" ht="19.5" thickBot="1" x14ac:dyDescent="0.35">
      <c r="A136" s="249">
        <v>2560</v>
      </c>
      <c r="B136" s="59" t="s">
        <v>309</v>
      </c>
      <c r="C136" s="291">
        <v>34882</v>
      </c>
      <c r="D136" s="274"/>
      <c r="E136" s="106"/>
      <c r="F136" s="106">
        <f t="shared" si="6"/>
        <v>34882</v>
      </c>
      <c r="G136" s="106">
        <f t="shared" si="7"/>
        <v>0</v>
      </c>
      <c r="H136" s="84"/>
      <c r="I136" s="84"/>
      <c r="J136" s="84"/>
      <c r="K136" s="84"/>
      <c r="L136" s="84"/>
      <c r="M136" s="84"/>
      <c r="N136" s="84"/>
      <c r="O136" s="84"/>
      <c r="P136" s="84">
        <v>21158</v>
      </c>
      <c r="Q136" s="84"/>
      <c r="R136" s="84"/>
      <c r="S136" s="84">
        <v>13724</v>
      </c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5"/>
      <c r="AJ136" s="85"/>
      <c r="AK136" s="85"/>
      <c r="AL136" s="85"/>
      <c r="AM136" s="85"/>
    </row>
    <row r="137" spans="1:39" s="13" customFormat="1" ht="19.5" thickBot="1" x14ac:dyDescent="0.35">
      <c r="A137" s="249">
        <v>2570</v>
      </c>
      <c r="B137" s="59" t="s">
        <v>310</v>
      </c>
      <c r="C137" s="291">
        <v>31622</v>
      </c>
      <c r="D137" s="274"/>
      <c r="E137" s="106"/>
      <c r="F137" s="106">
        <f t="shared" si="6"/>
        <v>31622</v>
      </c>
      <c r="G137" s="106">
        <f t="shared" si="7"/>
        <v>0</v>
      </c>
      <c r="H137" s="84"/>
      <c r="I137" s="84"/>
      <c r="J137" s="84"/>
      <c r="K137" s="84"/>
      <c r="L137" s="84">
        <v>9450</v>
      </c>
      <c r="M137" s="84">
        <v>3150</v>
      </c>
      <c r="N137" s="84">
        <v>3150</v>
      </c>
      <c r="O137" s="84">
        <v>3149</v>
      </c>
      <c r="P137" s="84">
        <v>3150</v>
      </c>
      <c r="Q137" s="84">
        <v>3150</v>
      </c>
      <c r="R137" s="84"/>
      <c r="S137" s="84">
        <v>6423</v>
      </c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5"/>
      <c r="AJ137" s="85"/>
      <c r="AK137" s="85"/>
      <c r="AL137" s="85"/>
      <c r="AM137" s="85"/>
    </row>
    <row r="138" spans="1:39" s="13" customFormat="1" ht="19.5" thickBot="1" x14ac:dyDescent="0.35">
      <c r="A138" s="249">
        <v>2580</v>
      </c>
      <c r="B138" s="59" t="s">
        <v>311</v>
      </c>
      <c r="C138" s="291">
        <v>29675</v>
      </c>
      <c r="D138" s="274"/>
      <c r="E138" s="106"/>
      <c r="F138" s="106">
        <f t="shared" si="6"/>
        <v>29675</v>
      </c>
      <c r="G138" s="106">
        <f t="shared" si="7"/>
        <v>0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>
        <v>24160</v>
      </c>
      <c r="S138" s="84">
        <f>4291+975</f>
        <v>5266</v>
      </c>
      <c r="T138" s="84"/>
      <c r="U138" s="84"/>
      <c r="V138" s="84"/>
      <c r="W138" s="84"/>
      <c r="X138" s="84"/>
      <c r="Y138" s="84"/>
      <c r="Z138" s="84"/>
      <c r="AA138" s="84">
        <v>249</v>
      </c>
      <c r="AB138" s="84"/>
      <c r="AC138" s="84"/>
      <c r="AD138" s="84"/>
      <c r="AE138" s="84"/>
      <c r="AF138" s="84"/>
      <c r="AG138" s="84"/>
      <c r="AH138" s="84"/>
      <c r="AI138" s="85"/>
      <c r="AJ138" s="85"/>
      <c r="AK138" s="85"/>
      <c r="AL138" s="85"/>
      <c r="AM138" s="85"/>
    </row>
    <row r="139" spans="1:39" s="13" customFormat="1" ht="19.5" thickBot="1" x14ac:dyDescent="0.35">
      <c r="A139" s="249">
        <v>2590</v>
      </c>
      <c r="B139" s="59" t="s">
        <v>312</v>
      </c>
      <c r="C139" s="291">
        <v>27475</v>
      </c>
      <c r="D139" s="274"/>
      <c r="E139" s="106"/>
      <c r="F139" s="106">
        <f t="shared" si="6"/>
        <v>27475</v>
      </c>
      <c r="G139" s="106">
        <f t="shared" si="7"/>
        <v>0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>
        <f>23432+3862</f>
        <v>27294</v>
      </c>
      <c r="R139" s="84"/>
      <c r="S139" s="84">
        <v>181</v>
      </c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5"/>
      <c r="AJ139" s="85"/>
      <c r="AK139" s="85"/>
      <c r="AL139" s="85"/>
      <c r="AM139" s="85"/>
    </row>
    <row r="140" spans="1:39" s="13" customFormat="1" ht="19.5" thickBot="1" x14ac:dyDescent="0.35">
      <c r="A140" s="249">
        <v>2600</v>
      </c>
      <c r="B140" s="59" t="s">
        <v>313</v>
      </c>
      <c r="C140" s="291">
        <v>96237</v>
      </c>
      <c r="D140" s="274"/>
      <c r="E140" s="106"/>
      <c r="F140" s="106">
        <f t="shared" si="6"/>
        <v>96237</v>
      </c>
      <c r="G140" s="106">
        <f t="shared" si="7"/>
        <v>0</v>
      </c>
      <c r="H140" s="84"/>
      <c r="I140" s="84"/>
      <c r="J140" s="84"/>
      <c r="K140" s="84"/>
      <c r="L140" s="84"/>
      <c r="M140" s="84"/>
      <c r="N140" s="84">
        <v>23926</v>
      </c>
      <c r="O140" s="84"/>
      <c r="P140" s="84">
        <v>12575</v>
      </c>
      <c r="Q140" s="84">
        <v>14160</v>
      </c>
      <c r="R140" s="84"/>
      <c r="S140" s="84">
        <v>29326</v>
      </c>
      <c r="T140" s="84"/>
      <c r="U140" s="84">
        <v>14267</v>
      </c>
      <c r="V140" s="84"/>
      <c r="W140" s="84"/>
      <c r="X140" s="84"/>
      <c r="Y140" s="84"/>
      <c r="Z140" s="84">
        <v>1983</v>
      </c>
      <c r="AA140" s="84"/>
      <c r="AB140" s="84"/>
      <c r="AC140" s="84"/>
      <c r="AD140" s="84"/>
      <c r="AE140" s="84"/>
      <c r="AF140" s="84"/>
      <c r="AG140" s="84"/>
      <c r="AH140" s="84"/>
      <c r="AI140" s="85"/>
      <c r="AJ140" s="85"/>
      <c r="AK140" s="85"/>
      <c r="AL140" s="85"/>
      <c r="AM140" s="85"/>
    </row>
    <row r="141" spans="1:39" s="13" customFormat="1" ht="19.5" thickBot="1" x14ac:dyDescent="0.35">
      <c r="A141" s="249">
        <v>2610</v>
      </c>
      <c r="B141" s="59" t="s">
        <v>314</v>
      </c>
      <c r="C141" s="291">
        <v>130749</v>
      </c>
      <c r="D141" s="274"/>
      <c r="E141" s="106"/>
      <c r="F141" s="106">
        <f t="shared" ref="F141:F172" si="8">SUM(H141:AH141)</f>
        <v>130749</v>
      </c>
      <c r="G141" s="106">
        <f t="shared" ref="G141:G172" si="9">IF(ISBLANK(E141),C141-F141,C141-E141)</f>
        <v>0</v>
      </c>
      <c r="H141" s="84"/>
      <c r="I141" s="84"/>
      <c r="J141" s="84"/>
      <c r="K141" s="84"/>
      <c r="L141" s="84">
        <v>28885</v>
      </c>
      <c r="M141" s="84">
        <v>24508</v>
      </c>
      <c r="N141" s="84"/>
      <c r="O141" s="84">
        <v>22950</v>
      </c>
      <c r="P141" s="84">
        <v>2222</v>
      </c>
      <c r="Q141" s="84"/>
      <c r="R141" s="84">
        <v>15875</v>
      </c>
      <c r="S141" s="84">
        <v>32214</v>
      </c>
      <c r="T141" s="84"/>
      <c r="U141" s="84"/>
      <c r="V141" s="84"/>
      <c r="W141" s="84"/>
      <c r="X141" s="84">
        <v>4095</v>
      </c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5"/>
      <c r="AJ141" s="85"/>
      <c r="AK141" s="85"/>
      <c r="AL141" s="85"/>
      <c r="AM141" s="85"/>
    </row>
    <row r="142" spans="1:39" s="13" customFormat="1" ht="19.5" thickBot="1" x14ac:dyDescent="0.35">
      <c r="A142" s="249">
        <v>2620</v>
      </c>
      <c r="B142" s="59" t="s">
        <v>315</v>
      </c>
      <c r="C142" s="291">
        <v>74947</v>
      </c>
      <c r="D142" s="274"/>
      <c r="E142" s="106"/>
      <c r="F142" s="106">
        <f t="shared" si="8"/>
        <v>74947</v>
      </c>
      <c r="G142" s="106">
        <f t="shared" si="9"/>
        <v>0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>
        <v>74947</v>
      </c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5"/>
      <c r="AJ142" s="85"/>
      <c r="AK142" s="85"/>
      <c r="AL142" s="85"/>
      <c r="AM142" s="85"/>
    </row>
    <row r="143" spans="1:39" s="13" customFormat="1" ht="19.5" thickBot="1" x14ac:dyDescent="0.35">
      <c r="A143" s="249">
        <v>2630</v>
      </c>
      <c r="B143" s="59" t="s">
        <v>316</v>
      </c>
      <c r="C143" s="291">
        <v>41094</v>
      </c>
      <c r="D143" s="274">
        <v>9040</v>
      </c>
      <c r="E143" s="106">
        <f>IF(ISBLANK(D143),,C143)</f>
        <v>41094</v>
      </c>
      <c r="F143" s="106">
        <f t="shared" si="8"/>
        <v>0</v>
      </c>
      <c r="G143" s="106">
        <f t="shared" si="9"/>
        <v>0</v>
      </c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5"/>
      <c r="AJ143" s="85"/>
      <c r="AK143" s="85"/>
      <c r="AL143" s="85"/>
      <c r="AM143" s="85"/>
    </row>
    <row r="144" spans="1:39" s="13" customFormat="1" ht="19.5" thickBot="1" x14ac:dyDescent="0.35">
      <c r="A144" s="249">
        <v>2640</v>
      </c>
      <c r="B144" s="59" t="s">
        <v>398</v>
      </c>
      <c r="C144" s="291">
        <v>64302</v>
      </c>
      <c r="D144" s="274"/>
      <c r="E144" s="106"/>
      <c r="F144" s="106">
        <f t="shared" si="8"/>
        <v>64302</v>
      </c>
      <c r="G144" s="106">
        <f t="shared" si="9"/>
        <v>0</v>
      </c>
      <c r="H144" s="84"/>
      <c r="I144" s="84"/>
      <c r="J144" s="84"/>
      <c r="K144" s="84"/>
      <c r="L144" s="84"/>
      <c r="M144" s="84"/>
      <c r="N144" s="84"/>
      <c r="O144" s="84"/>
      <c r="P144" s="84">
        <v>32125</v>
      </c>
      <c r="Q144" s="84"/>
      <c r="R144" s="84"/>
      <c r="S144" s="84">
        <v>32124</v>
      </c>
      <c r="T144" s="84"/>
      <c r="U144" s="84"/>
      <c r="V144" s="84"/>
      <c r="W144" s="84"/>
      <c r="X144" s="84"/>
      <c r="Y144" s="84"/>
      <c r="Z144" s="84"/>
      <c r="AA144" s="84"/>
      <c r="AB144" s="84">
        <v>53</v>
      </c>
      <c r="AC144" s="84"/>
      <c r="AD144" s="84"/>
      <c r="AE144" s="84"/>
      <c r="AF144" s="84"/>
      <c r="AG144" s="84"/>
      <c r="AH144" s="84"/>
      <c r="AI144" s="85"/>
      <c r="AJ144" s="85"/>
      <c r="AK144" s="85"/>
      <c r="AL144" s="85"/>
      <c r="AM144" s="85"/>
    </row>
    <row r="145" spans="1:39" s="13" customFormat="1" ht="19.5" thickBot="1" x14ac:dyDescent="0.35">
      <c r="A145" s="249">
        <v>2650</v>
      </c>
      <c r="B145" s="59" t="s">
        <v>318</v>
      </c>
      <c r="C145" s="291">
        <v>77147</v>
      </c>
      <c r="D145" s="274"/>
      <c r="E145" s="106"/>
      <c r="F145" s="106">
        <f t="shared" si="8"/>
        <v>77147</v>
      </c>
      <c r="G145" s="106">
        <f t="shared" si="9"/>
        <v>0</v>
      </c>
      <c r="H145" s="84"/>
      <c r="I145" s="84"/>
      <c r="J145" s="84"/>
      <c r="K145" s="84"/>
      <c r="L145" s="84"/>
      <c r="M145" s="84"/>
      <c r="N145" s="84"/>
      <c r="O145" s="84"/>
      <c r="P145" s="84">
        <v>39141</v>
      </c>
      <c r="Q145" s="84"/>
      <c r="R145" s="84"/>
      <c r="S145" s="84">
        <v>38006</v>
      </c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5"/>
      <c r="AJ145" s="85"/>
      <c r="AK145" s="85"/>
      <c r="AL145" s="85"/>
      <c r="AM145" s="85"/>
    </row>
    <row r="146" spans="1:39" s="13" customFormat="1" ht="19.5" thickBot="1" x14ac:dyDescent="0.35">
      <c r="A146" s="249">
        <v>2660</v>
      </c>
      <c r="B146" s="59" t="s">
        <v>319</v>
      </c>
      <c r="C146" s="291">
        <v>478374</v>
      </c>
      <c r="D146" s="274"/>
      <c r="E146" s="106"/>
      <c r="F146" s="106">
        <f t="shared" si="8"/>
        <v>478374</v>
      </c>
      <c r="G146" s="106">
        <f t="shared" si="9"/>
        <v>0</v>
      </c>
      <c r="H146" s="84"/>
      <c r="I146" s="84"/>
      <c r="J146" s="84"/>
      <c r="K146" s="84"/>
      <c r="L146" s="84"/>
      <c r="M146" s="84"/>
      <c r="N146" s="84">
        <v>33052</v>
      </c>
      <c r="O146" s="84">
        <v>52820</v>
      </c>
      <c r="P146" s="84">
        <v>51193</v>
      </c>
      <c r="Q146" s="84">
        <v>54189</v>
      </c>
      <c r="R146" s="84">
        <v>52975</v>
      </c>
      <c r="S146" s="84">
        <f>55224+48388</f>
        <v>103612</v>
      </c>
      <c r="T146" s="84">
        <v>35430</v>
      </c>
      <c r="U146" s="84"/>
      <c r="V146" s="84">
        <v>33782</v>
      </c>
      <c r="W146" s="84"/>
      <c r="X146" s="84"/>
      <c r="Y146" s="84"/>
      <c r="Z146" s="84">
        <v>61321</v>
      </c>
      <c r="AA146" s="84"/>
      <c r="AB146" s="84"/>
      <c r="AC146" s="84"/>
      <c r="AD146" s="84"/>
      <c r="AE146" s="84"/>
      <c r="AF146" s="84"/>
      <c r="AG146" s="84"/>
      <c r="AH146" s="84"/>
      <c r="AI146" s="85"/>
      <c r="AJ146" s="85"/>
      <c r="AK146" s="85"/>
      <c r="AL146" s="85"/>
      <c r="AM146" s="85"/>
    </row>
    <row r="147" spans="1:39" s="13" customFormat="1" ht="19.5" thickBot="1" x14ac:dyDescent="0.35">
      <c r="A147" s="249">
        <v>2670</v>
      </c>
      <c r="B147" s="59" t="s">
        <v>320</v>
      </c>
      <c r="C147" s="291">
        <v>106214</v>
      </c>
      <c r="D147" s="274"/>
      <c r="E147" s="106"/>
      <c r="F147" s="106">
        <f t="shared" si="8"/>
        <v>106214</v>
      </c>
      <c r="G147" s="106">
        <f t="shared" si="9"/>
        <v>0</v>
      </c>
      <c r="H147" s="84"/>
      <c r="I147" s="84"/>
      <c r="J147" s="84"/>
      <c r="K147" s="84"/>
      <c r="L147" s="84">
        <v>25445</v>
      </c>
      <c r="M147" s="84"/>
      <c r="N147" s="84"/>
      <c r="O147" s="84"/>
      <c r="P147" s="84">
        <v>38305</v>
      </c>
      <c r="Q147" s="84"/>
      <c r="R147" s="84">
        <v>23147</v>
      </c>
      <c r="S147" s="84">
        <v>19230</v>
      </c>
      <c r="T147" s="84"/>
      <c r="U147" s="84"/>
      <c r="V147" s="84"/>
      <c r="W147" s="84"/>
      <c r="X147" s="84">
        <v>87</v>
      </c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5"/>
      <c r="AJ147" s="85"/>
      <c r="AK147" s="85"/>
      <c r="AL147" s="85"/>
      <c r="AM147" s="85"/>
    </row>
    <row r="148" spans="1:39" s="13" customFormat="1" ht="19.5" thickBot="1" x14ac:dyDescent="0.35">
      <c r="A148" s="249">
        <v>2680</v>
      </c>
      <c r="B148" s="59" t="s">
        <v>321</v>
      </c>
      <c r="C148" s="291">
        <v>40551</v>
      </c>
      <c r="D148" s="274"/>
      <c r="E148" s="106"/>
      <c r="F148" s="106">
        <f t="shared" si="8"/>
        <v>40551</v>
      </c>
      <c r="G148" s="106">
        <f t="shared" si="9"/>
        <v>0</v>
      </c>
      <c r="H148" s="84"/>
      <c r="I148" s="84"/>
      <c r="J148" s="84"/>
      <c r="K148" s="84"/>
      <c r="L148" s="84">
        <v>7427</v>
      </c>
      <c r="M148" s="84">
        <v>3328</v>
      </c>
      <c r="N148" s="84">
        <v>6593</v>
      </c>
      <c r="O148" s="84"/>
      <c r="P148" s="84">
        <v>3181</v>
      </c>
      <c r="Q148" s="84"/>
      <c r="R148" s="84">
        <v>9872</v>
      </c>
      <c r="S148" s="84"/>
      <c r="T148" s="84"/>
      <c r="U148" s="84"/>
      <c r="V148" s="84">
        <v>9968</v>
      </c>
      <c r="W148" s="84"/>
      <c r="X148" s="84"/>
      <c r="Y148" s="84">
        <v>182</v>
      </c>
      <c r="Z148" s="84"/>
      <c r="AA148" s="84"/>
      <c r="AB148" s="84"/>
      <c r="AC148" s="84"/>
      <c r="AD148" s="84"/>
      <c r="AE148" s="84"/>
      <c r="AF148" s="84"/>
      <c r="AG148" s="84"/>
      <c r="AH148" s="84"/>
      <c r="AI148" s="85"/>
      <c r="AJ148" s="85"/>
      <c r="AK148" s="85"/>
      <c r="AL148" s="85"/>
      <c r="AM148" s="85"/>
    </row>
    <row r="149" spans="1:39" s="13" customFormat="1" ht="19.5" thickBot="1" x14ac:dyDescent="0.35">
      <c r="A149" s="249">
        <v>2690</v>
      </c>
      <c r="B149" s="59" t="s">
        <v>322</v>
      </c>
      <c r="C149" s="291">
        <v>5241187</v>
      </c>
      <c r="D149" s="274"/>
      <c r="E149" s="106"/>
      <c r="F149" s="106">
        <f t="shared" si="8"/>
        <v>5241187</v>
      </c>
      <c r="G149" s="106">
        <f t="shared" si="9"/>
        <v>0</v>
      </c>
      <c r="H149" s="84"/>
      <c r="I149" s="84"/>
      <c r="J149" s="84"/>
      <c r="K149" s="84"/>
      <c r="L149" s="84">
        <v>36062</v>
      </c>
      <c r="M149" s="84">
        <v>418269</v>
      </c>
      <c r="N149" s="84">
        <v>410288</v>
      </c>
      <c r="O149" s="84">
        <v>373005</v>
      </c>
      <c r="P149" s="84">
        <v>447595</v>
      </c>
      <c r="Q149" s="84">
        <v>443277</v>
      </c>
      <c r="R149" s="84">
        <v>450123</v>
      </c>
      <c r="S149" s="84">
        <v>412746</v>
      </c>
      <c r="T149" s="84">
        <v>1016399</v>
      </c>
      <c r="U149" s="84">
        <v>5700</v>
      </c>
      <c r="V149" s="84"/>
      <c r="W149" s="84">
        <v>93145</v>
      </c>
      <c r="X149" s="84">
        <v>406591</v>
      </c>
      <c r="Y149" s="84">
        <v>406033</v>
      </c>
      <c r="Z149" s="84"/>
      <c r="AA149" s="84">
        <v>321954</v>
      </c>
      <c r="AB149" s="84"/>
      <c r="AC149" s="84"/>
      <c r="AD149" s="84"/>
      <c r="AE149" s="84"/>
      <c r="AF149" s="84"/>
      <c r="AG149" s="84"/>
      <c r="AH149" s="84"/>
      <c r="AI149" s="85"/>
      <c r="AJ149" s="85"/>
      <c r="AK149" s="85"/>
      <c r="AL149" s="85"/>
      <c r="AM149" s="85"/>
    </row>
    <row r="150" spans="1:39" s="13" customFormat="1" ht="19.5" thickBot="1" x14ac:dyDescent="0.35">
      <c r="A150" s="249">
        <v>2700</v>
      </c>
      <c r="B150" s="59" t="s">
        <v>323</v>
      </c>
      <c r="C150" s="291">
        <v>985376</v>
      </c>
      <c r="D150" s="274"/>
      <c r="E150" s="106"/>
      <c r="F150" s="106">
        <f t="shared" si="8"/>
        <v>985376</v>
      </c>
      <c r="G150" s="106">
        <f t="shared" si="9"/>
        <v>0</v>
      </c>
      <c r="H150" s="84"/>
      <c r="I150" s="84"/>
      <c r="J150" s="84"/>
      <c r="K150" s="84"/>
      <c r="L150" s="84">
        <v>199016</v>
      </c>
      <c r="M150" s="84"/>
      <c r="N150" s="84"/>
      <c r="O150" s="84"/>
      <c r="P150" s="84"/>
      <c r="Q150" s="84"/>
      <c r="R150" s="84"/>
      <c r="S150" s="84"/>
      <c r="T150" s="84">
        <v>72799</v>
      </c>
      <c r="U150" s="84">
        <v>70648</v>
      </c>
      <c r="V150" s="84"/>
      <c r="W150" s="84"/>
      <c r="X150" s="84">
        <v>157858</v>
      </c>
      <c r="Y150" s="84">
        <v>131349</v>
      </c>
      <c r="Z150" s="84">
        <v>76360</v>
      </c>
      <c r="AA150" s="84">
        <v>86376</v>
      </c>
      <c r="AB150" s="84">
        <v>89269</v>
      </c>
      <c r="AC150" s="84">
        <v>101701</v>
      </c>
      <c r="AD150" s="84"/>
      <c r="AE150" s="84"/>
      <c r="AF150" s="84"/>
      <c r="AG150" s="84"/>
      <c r="AH150" s="84"/>
      <c r="AI150" s="85"/>
      <c r="AJ150" s="85"/>
      <c r="AK150" s="85"/>
      <c r="AL150" s="85"/>
      <c r="AM150" s="85"/>
    </row>
    <row r="151" spans="1:39" s="13" customFormat="1" ht="19.5" thickBot="1" x14ac:dyDescent="0.35">
      <c r="A151" s="249">
        <v>2710</v>
      </c>
      <c r="B151" s="59" t="s">
        <v>324</v>
      </c>
      <c r="C151" s="291">
        <v>53451</v>
      </c>
      <c r="D151" s="274"/>
      <c r="E151" s="106"/>
      <c r="F151" s="106">
        <f t="shared" si="8"/>
        <v>53451</v>
      </c>
      <c r="G151" s="106">
        <f t="shared" si="9"/>
        <v>0</v>
      </c>
      <c r="H151" s="84"/>
      <c r="I151" s="84"/>
      <c r="J151" s="84"/>
      <c r="K151" s="84"/>
      <c r="L151" s="84">
        <v>13351</v>
      </c>
      <c r="M151" s="84"/>
      <c r="N151" s="84"/>
      <c r="O151" s="84"/>
      <c r="P151" s="84">
        <v>13375</v>
      </c>
      <c r="Q151" s="84">
        <v>13351</v>
      </c>
      <c r="R151" s="84"/>
      <c r="S151" s="84">
        <v>13374</v>
      </c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5"/>
      <c r="AJ151" s="85"/>
      <c r="AK151" s="85"/>
      <c r="AL151" s="85"/>
      <c r="AM151" s="85"/>
    </row>
    <row r="152" spans="1:39" s="13" customFormat="1" ht="19.5" thickBot="1" x14ac:dyDescent="0.35">
      <c r="A152" s="249">
        <v>2720</v>
      </c>
      <c r="B152" s="59" t="s">
        <v>325</v>
      </c>
      <c r="C152" s="291">
        <v>32457</v>
      </c>
      <c r="D152" s="274"/>
      <c r="E152" s="106"/>
      <c r="F152" s="106">
        <f t="shared" si="8"/>
        <v>32457</v>
      </c>
      <c r="G152" s="106">
        <f t="shared" si="9"/>
        <v>0</v>
      </c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>
        <v>32457</v>
      </c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5"/>
      <c r="AJ152" s="85"/>
      <c r="AK152" s="85"/>
      <c r="AL152" s="85"/>
      <c r="AM152" s="85"/>
    </row>
    <row r="153" spans="1:39" s="13" customFormat="1" ht="19.5" thickBot="1" x14ac:dyDescent="0.35">
      <c r="A153" s="249">
        <v>2730</v>
      </c>
      <c r="B153" s="59" t="s">
        <v>326</v>
      </c>
      <c r="C153" s="291">
        <v>212487</v>
      </c>
      <c r="D153" s="274"/>
      <c r="E153" s="106"/>
      <c r="F153" s="106">
        <f t="shared" si="8"/>
        <v>212487</v>
      </c>
      <c r="G153" s="106">
        <f t="shared" si="9"/>
        <v>0</v>
      </c>
      <c r="H153" s="84"/>
      <c r="I153" s="84"/>
      <c r="J153" s="84"/>
      <c r="K153" s="84"/>
      <c r="L153" s="84"/>
      <c r="M153" s="84">
        <v>19352</v>
      </c>
      <c r="N153" s="84"/>
      <c r="O153" s="84"/>
      <c r="P153" s="84">
        <v>70568</v>
      </c>
      <c r="Q153" s="84"/>
      <c r="R153" s="84">
        <v>22830</v>
      </c>
      <c r="S153" s="84"/>
      <c r="T153" s="84"/>
      <c r="U153" s="84"/>
      <c r="V153" s="84">
        <v>57463</v>
      </c>
      <c r="W153" s="84">
        <v>38716</v>
      </c>
      <c r="X153" s="84"/>
      <c r="Y153" s="84">
        <v>3558</v>
      </c>
      <c r="Z153" s="84"/>
      <c r="AA153" s="84"/>
      <c r="AB153" s="84"/>
      <c r="AC153" s="84"/>
      <c r="AD153" s="84"/>
      <c r="AE153" s="84"/>
      <c r="AF153" s="84"/>
      <c r="AG153" s="84"/>
      <c r="AH153" s="84"/>
      <c r="AI153" s="85"/>
      <c r="AJ153" s="85"/>
      <c r="AK153" s="85"/>
      <c r="AL153" s="85"/>
      <c r="AM153" s="85"/>
    </row>
    <row r="154" spans="1:39" s="13" customFormat="1" ht="19.5" thickBot="1" x14ac:dyDescent="0.35">
      <c r="A154" s="249">
        <v>2740</v>
      </c>
      <c r="B154" s="59" t="s">
        <v>327</v>
      </c>
      <c r="C154" s="291">
        <v>292733</v>
      </c>
      <c r="D154" s="274"/>
      <c r="E154" s="106"/>
      <c r="F154" s="106">
        <f t="shared" si="8"/>
        <v>292733</v>
      </c>
      <c r="G154" s="106">
        <f t="shared" si="9"/>
        <v>0</v>
      </c>
      <c r="H154" s="84"/>
      <c r="I154" s="84"/>
      <c r="J154" s="84"/>
      <c r="K154" s="84"/>
      <c r="L154" s="84">
        <v>28306</v>
      </c>
      <c r="M154" s="84">
        <v>23130</v>
      </c>
      <c r="N154" s="84">
        <v>22949</v>
      </c>
      <c r="O154" s="84">
        <v>22383</v>
      </c>
      <c r="P154" s="84">
        <v>22300</v>
      </c>
      <c r="Q154" s="84">
        <v>21952</v>
      </c>
      <c r="R154" s="84">
        <v>22184</v>
      </c>
      <c r="S154" s="84">
        <f>22413+31251</f>
        <v>53664</v>
      </c>
      <c r="T154" s="84"/>
      <c r="U154" s="84">
        <v>21876</v>
      </c>
      <c r="V154" s="84">
        <v>21876</v>
      </c>
      <c r="W154" s="84"/>
      <c r="X154" s="84">
        <v>22784</v>
      </c>
      <c r="Y154" s="84">
        <v>9329</v>
      </c>
      <c r="Z154" s="84"/>
      <c r="AA154" s="84"/>
      <c r="AB154" s="84"/>
      <c r="AC154" s="84"/>
      <c r="AD154" s="84"/>
      <c r="AE154" s="84"/>
      <c r="AF154" s="84"/>
      <c r="AG154" s="84"/>
      <c r="AH154" s="84"/>
      <c r="AI154" s="85"/>
      <c r="AJ154" s="85"/>
      <c r="AK154" s="85"/>
      <c r="AL154" s="85"/>
      <c r="AM154" s="85"/>
    </row>
    <row r="155" spans="1:39" s="13" customFormat="1" ht="19.5" thickBot="1" x14ac:dyDescent="0.35">
      <c r="A155" s="249">
        <v>2750</v>
      </c>
      <c r="B155" s="59" t="s">
        <v>328</v>
      </c>
      <c r="C155" s="291">
        <v>63673</v>
      </c>
      <c r="D155" s="274"/>
      <c r="E155" s="106"/>
      <c r="F155" s="106">
        <f t="shared" si="8"/>
        <v>63673</v>
      </c>
      <c r="G155" s="106">
        <f t="shared" si="9"/>
        <v>0</v>
      </c>
      <c r="H155" s="84"/>
      <c r="I155" s="84"/>
      <c r="J155" s="84"/>
      <c r="K155" s="84"/>
      <c r="L155" s="84"/>
      <c r="M155" s="84"/>
      <c r="N155" s="84">
        <v>15082</v>
      </c>
      <c r="O155" s="84"/>
      <c r="P155" s="84"/>
      <c r="Q155" s="84"/>
      <c r="R155" s="84"/>
      <c r="S155" s="84"/>
      <c r="T155" s="84"/>
      <c r="U155" s="84">
        <v>48015</v>
      </c>
      <c r="V155" s="84"/>
      <c r="W155" s="84"/>
      <c r="X155" s="84"/>
      <c r="Y155" s="84"/>
      <c r="Z155" s="84"/>
      <c r="AA155" s="84">
        <v>576</v>
      </c>
      <c r="AB155" s="84"/>
      <c r="AC155" s="84"/>
      <c r="AD155" s="84"/>
      <c r="AE155" s="84"/>
      <c r="AF155" s="84"/>
      <c r="AG155" s="84"/>
      <c r="AH155" s="84"/>
      <c r="AI155" s="85"/>
      <c r="AJ155" s="85"/>
      <c r="AK155" s="85"/>
      <c r="AL155" s="85"/>
      <c r="AM155" s="85"/>
    </row>
    <row r="156" spans="1:39" s="13" customFormat="1" ht="19.5" thickBot="1" x14ac:dyDescent="0.35">
      <c r="A156" s="249">
        <v>2760</v>
      </c>
      <c r="B156" s="59" t="s">
        <v>329</v>
      </c>
      <c r="C156" s="291">
        <v>35895</v>
      </c>
      <c r="D156" s="274">
        <v>9095</v>
      </c>
      <c r="E156" s="106">
        <f>IF(ISBLANK(D156),,C156)</f>
        <v>35895</v>
      </c>
      <c r="F156" s="106">
        <f t="shared" si="8"/>
        <v>0</v>
      </c>
      <c r="G156" s="106">
        <f t="shared" si="9"/>
        <v>0</v>
      </c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5"/>
      <c r="AJ156" s="85"/>
      <c r="AK156" s="85"/>
      <c r="AL156" s="85"/>
      <c r="AM156" s="85"/>
    </row>
    <row r="157" spans="1:39" s="13" customFormat="1" ht="19.5" thickBot="1" x14ac:dyDescent="0.35">
      <c r="A157" s="249">
        <v>2770</v>
      </c>
      <c r="B157" s="268" t="s">
        <v>330</v>
      </c>
      <c r="C157" s="291">
        <v>161674</v>
      </c>
      <c r="D157" s="274"/>
      <c r="E157" s="106"/>
      <c r="F157" s="106">
        <f t="shared" si="8"/>
        <v>161674</v>
      </c>
      <c r="G157" s="106">
        <f t="shared" si="9"/>
        <v>0</v>
      </c>
      <c r="H157" s="84"/>
      <c r="I157" s="84"/>
      <c r="J157" s="84"/>
      <c r="K157" s="84"/>
      <c r="L157" s="84"/>
      <c r="M157" s="84"/>
      <c r="N157" s="84">
        <v>40774</v>
      </c>
      <c r="O157" s="84"/>
      <c r="P157" s="84"/>
      <c r="Q157" s="84"/>
      <c r="R157" s="84"/>
      <c r="S157" s="84">
        <v>117140</v>
      </c>
      <c r="T157" s="84"/>
      <c r="U157" s="84"/>
      <c r="V157" s="84"/>
      <c r="W157" s="84"/>
      <c r="X157" s="84"/>
      <c r="Y157" s="84"/>
      <c r="Z157" s="84"/>
      <c r="AA157" s="84">
        <v>3760</v>
      </c>
      <c r="AB157" s="84"/>
      <c r="AC157" s="84"/>
      <c r="AD157" s="84"/>
      <c r="AE157" s="84"/>
      <c r="AF157" s="84"/>
      <c r="AG157" s="84"/>
      <c r="AH157" s="84"/>
      <c r="AI157" s="85"/>
      <c r="AJ157" s="85"/>
      <c r="AK157" s="85"/>
      <c r="AL157" s="85"/>
      <c r="AM157" s="85"/>
    </row>
    <row r="158" spans="1:39" s="13" customFormat="1" ht="19.5" thickBot="1" x14ac:dyDescent="0.35">
      <c r="A158" s="249">
        <v>2780</v>
      </c>
      <c r="B158" s="268" t="s">
        <v>331</v>
      </c>
      <c r="C158" s="291">
        <v>22968</v>
      </c>
      <c r="D158" s="274">
        <v>9095</v>
      </c>
      <c r="E158" s="106">
        <f>IF(ISBLANK(D158),,C158)</f>
        <v>22968</v>
      </c>
      <c r="F158" s="106">
        <f t="shared" si="8"/>
        <v>0</v>
      </c>
      <c r="G158" s="106">
        <f t="shared" si="9"/>
        <v>0</v>
      </c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5"/>
      <c r="AJ158" s="85"/>
      <c r="AK158" s="85"/>
      <c r="AL158" s="85"/>
      <c r="AM158" s="85"/>
    </row>
    <row r="159" spans="1:39" s="13" customFormat="1" ht="19.5" thickBot="1" x14ac:dyDescent="0.35">
      <c r="A159" s="249">
        <v>2790</v>
      </c>
      <c r="B159" s="268" t="s">
        <v>332</v>
      </c>
      <c r="C159" s="291">
        <v>99736</v>
      </c>
      <c r="D159" s="274"/>
      <c r="E159" s="106"/>
      <c r="F159" s="106">
        <f t="shared" si="8"/>
        <v>99736</v>
      </c>
      <c r="G159" s="106">
        <f t="shared" si="9"/>
        <v>0</v>
      </c>
      <c r="H159" s="84"/>
      <c r="I159" s="84"/>
      <c r="J159" s="84"/>
      <c r="K159" s="84"/>
      <c r="L159" s="84"/>
      <c r="M159" s="84"/>
      <c r="N159" s="84"/>
      <c r="O159" s="84"/>
      <c r="P159" s="84">
        <v>67700</v>
      </c>
      <c r="Q159" s="84"/>
      <c r="R159" s="84">
        <v>17509</v>
      </c>
      <c r="S159" s="84">
        <v>14527</v>
      </c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5"/>
      <c r="AJ159" s="85"/>
      <c r="AK159" s="85"/>
      <c r="AL159" s="85"/>
      <c r="AM159" s="85"/>
    </row>
    <row r="160" spans="1:39" s="13" customFormat="1" ht="19.5" thickBot="1" x14ac:dyDescent="0.35">
      <c r="A160" s="249">
        <v>2800</v>
      </c>
      <c r="B160" s="268" t="s">
        <v>333</v>
      </c>
      <c r="C160" s="291">
        <v>123939</v>
      </c>
      <c r="D160" s="274"/>
      <c r="E160" s="106"/>
      <c r="F160" s="106">
        <f t="shared" si="8"/>
        <v>123939</v>
      </c>
      <c r="G160" s="106">
        <f t="shared" si="9"/>
        <v>0</v>
      </c>
      <c r="H160" s="84"/>
      <c r="I160" s="84"/>
      <c r="J160" s="84"/>
      <c r="K160" s="84"/>
      <c r="L160" s="84"/>
      <c r="M160" s="84"/>
      <c r="N160" s="84"/>
      <c r="O160" s="84"/>
      <c r="P160" s="84"/>
      <c r="Q160" s="84">
        <v>101799</v>
      </c>
      <c r="R160" s="84"/>
      <c r="S160" s="84">
        <v>22140</v>
      </c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5"/>
      <c r="AJ160" s="85"/>
      <c r="AK160" s="85"/>
      <c r="AL160" s="85"/>
      <c r="AM160" s="85"/>
    </row>
    <row r="161" spans="1:39" s="13" customFormat="1" ht="19.5" thickBot="1" x14ac:dyDescent="0.35">
      <c r="A161" s="249">
        <v>2810</v>
      </c>
      <c r="B161" s="268" t="s">
        <v>334</v>
      </c>
      <c r="C161" s="291">
        <v>504877</v>
      </c>
      <c r="D161" s="274"/>
      <c r="E161" s="106"/>
      <c r="F161" s="106">
        <f t="shared" si="8"/>
        <v>504877</v>
      </c>
      <c r="G161" s="106">
        <f t="shared" si="9"/>
        <v>0</v>
      </c>
      <c r="H161" s="84"/>
      <c r="I161" s="84"/>
      <c r="J161" s="84"/>
      <c r="K161" s="84">
        <v>1496</v>
      </c>
      <c r="L161" s="84"/>
      <c r="M161" s="84">
        <v>67100</v>
      </c>
      <c r="N161" s="84"/>
      <c r="O161" s="84">
        <v>84432</v>
      </c>
      <c r="P161" s="84"/>
      <c r="Q161" s="84">
        <v>107458</v>
      </c>
      <c r="R161" s="84"/>
      <c r="S161" s="84">
        <v>99846</v>
      </c>
      <c r="T161" s="84"/>
      <c r="U161" s="84"/>
      <c r="V161" s="84">
        <v>101906</v>
      </c>
      <c r="W161" s="84"/>
      <c r="X161" s="84">
        <v>42639</v>
      </c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5"/>
      <c r="AJ161" s="85"/>
      <c r="AK161" s="85"/>
      <c r="AL161" s="85"/>
      <c r="AM161" s="85"/>
    </row>
    <row r="162" spans="1:39" s="13" customFormat="1" ht="19.5" thickBot="1" x14ac:dyDescent="0.35">
      <c r="A162" s="249">
        <v>2820</v>
      </c>
      <c r="B162" s="59" t="s">
        <v>335</v>
      </c>
      <c r="C162" s="291">
        <v>16316</v>
      </c>
      <c r="D162" s="274"/>
      <c r="E162" s="106"/>
      <c r="F162" s="106">
        <f t="shared" si="8"/>
        <v>16316</v>
      </c>
      <c r="G162" s="106">
        <f t="shared" si="9"/>
        <v>0</v>
      </c>
      <c r="H162" s="84"/>
      <c r="I162" s="84"/>
      <c r="J162" s="84"/>
      <c r="K162" s="84"/>
      <c r="L162" s="84"/>
      <c r="M162" s="84"/>
      <c r="N162" s="84">
        <v>16303</v>
      </c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>
        <v>13</v>
      </c>
      <c r="AF162" s="84"/>
      <c r="AG162" s="84"/>
      <c r="AH162" s="84"/>
      <c r="AI162" s="85"/>
      <c r="AJ162" s="85"/>
      <c r="AK162" s="85"/>
      <c r="AL162" s="85"/>
      <c r="AM162" s="85"/>
    </row>
    <row r="163" spans="1:39" s="13" customFormat="1" ht="19.5" thickBot="1" x14ac:dyDescent="0.35">
      <c r="A163" s="249">
        <v>2830</v>
      </c>
      <c r="B163" s="59" t="s">
        <v>336</v>
      </c>
      <c r="C163" s="291">
        <v>59403</v>
      </c>
      <c r="D163" s="274"/>
      <c r="E163" s="106"/>
      <c r="F163" s="106">
        <f t="shared" si="8"/>
        <v>59403</v>
      </c>
      <c r="G163" s="106">
        <f t="shared" si="9"/>
        <v>0</v>
      </c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>
        <v>59403</v>
      </c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5"/>
      <c r="AJ163" s="85"/>
      <c r="AK163" s="85"/>
      <c r="AL163" s="85"/>
      <c r="AM163" s="85"/>
    </row>
    <row r="164" spans="1:39" s="13" customFormat="1" ht="19.5" thickBot="1" x14ac:dyDescent="0.35">
      <c r="A164" s="249">
        <v>2840</v>
      </c>
      <c r="B164" s="59" t="s">
        <v>337</v>
      </c>
      <c r="C164" s="291">
        <v>48658</v>
      </c>
      <c r="D164" s="274"/>
      <c r="E164" s="106"/>
      <c r="F164" s="106">
        <f t="shared" si="8"/>
        <v>48658</v>
      </c>
      <c r="G164" s="106">
        <f t="shared" si="9"/>
        <v>0</v>
      </c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>
        <v>48658</v>
      </c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5"/>
      <c r="AJ164" s="85"/>
      <c r="AK164" s="85"/>
      <c r="AL164" s="85"/>
      <c r="AM164" s="85"/>
    </row>
    <row r="165" spans="1:39" s="13" customFormat="1" ht="19.5" thickBot="1" x14ac:dyDescent="0.35">
      <c r="A165" s="249">
        <v>2862</v>
      </c>
      <c r="B165" s="59" t="s">
        <v>338</v>
      </c>
      <c r="C165" s="291">
        <v>38479</v>
      </c>
      <c r="D165" s="274">
        <v>9040</v>
      </c>
      <c r="E165" s="106">
        <f>IF(ISBLANK(D165),,C165)</f>
        <v>38479</v>
      </c>
      <c r="F165" s="106">
        <f t="shared" si="8"/>
        <v>0</v>
      </c>
      <c r="G165" s="106">
        <f t="shared" si="9"/>
        <v>0</v>
      </c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5"/>
      <c r="AJ165" s="85"/>
      <c r="AK165" s="85"/>
      <c r="AL165" s="85"/>
      <c r="AM165" s="85"/>
    </row>
    <row r="166" spans="1:39" s="13" customFormat="1" ht="19.5" thickBot="1" x14ac:dyDescent="0.35">
      <c r="A166" s="249">
        <v>2865</v>
      </c>
      <c r="B166" s="59" t="s">
        <v>339</v>
      </c>
      <c r="C166" s="291">
        <v>27627</v>
      </c>
      <c r="D166" s="274">
        <v>9040</v>
      </c>
      <c r="E166" s="106">
        <f>IF(ISBLANK(D166),,C166)</f>
        <v>27627</v>
      </c>
      <c r="F166" s="106">
        <f t="shared" si="8"/>
        <v>0</v>
      </c>
      <c r="G166" s="106">
        <f t="shared" si="9"/>
        <v>0</v>
      </c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5"/>
      <c r="AJ166" s="85"/>
      <c r="AK166" s="85"/>
      <c r="AL166" s="85"/>
      <c r="AM166" s="85"/>
    </row>
    <row r="167" spans="1:39" s="13" customFormat="1" ht="19.5" thickBot="1" x14ac:dyDescent="0.35">
      <c r="A167" s="249">
        <v>3000</v>
      </c>
      <c r="B167" s="59" t="s">
        <v>340</v>
      </c>
      <c r="C167" s="291">
        <v>240002</v>
      </c>
      <c r="D167" s="274"/>
      <c r="E167" s="106"/>
      <c r="F167" s="106">
        <f t="shared" si="8"/>
        <v>240002</v>
      </c>
      <c r="G167" s="106">
        <f t="shared" si="9"/>
        <v>0</v>
      </c>
      <c r="H167" s="84"/>
      <c r="I167" s="84"/>
      <c r="J167" s="84"/>
      <c r="K167" s="84"/>
      <c r="L167" s="84"/>
      <c r="M167" s="84">
        <v>57319</v>
      </c>
      <c r="N167" s="84">
        <v>19108</v>
      </c>
      <c r="O167" s="84">
        <v>19219</v>
      </c>
      <c r="P167" s="84">
        <v>19239</v>
      </c>
      <c r="Q167" s="84">
        <v>20232</v>
      </c>
      <c r="R167" s="84">
        <v>19568</v>
      </c>
      <c r="S167" s="84">
        <v>85317</v>
      </c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5"/>
      <c r="AJ167" s="85"/>
      <c r="AK167" s="85"/>
      <c r="AL167" s="85"/>
      <c r="AM167" s="85"/>
    </row>
    <row r="168" spans="1:39" s="13" customFormat="1" ht="19.5" thickBot="1" x14ac:dyDescent="0.35">
      <c r="A168" s="249">
        <v>3010</v>
      </c>
      <c r="B168" s="59" t="s">
        <v>341</v>
      </c>
      <c r="C168" s="291">
        <v>77694</v>
      </c>
      <c r="D168" s="274"/>
      <c r="E168" s="106"/>
      <c r="F168" s="106">
        <f t="shared" si="8"/>
        <v>77694</v>
      </c>
      <c r="G168" s="106">
        <f t="shared" si="9"/>
        <v>0</v>
      </c>
      <c r="H168" s="84"/>
      <c r="I168" s="84"/>
      <c r="J168" s="84"/>
      <c r="K168" s="84"/>
      <c r="L168" s="84"/>
      <c r="M168" s="84"/>
      <c r="N168" s="84">
        <v>9340</v>
      </c>
      <c r="O168" s="84"/>
      <c r="P168" s="84"/>
      <c r="Q168" s="84"/>
      <c r="R168" s="84"/>
      <c r="S168" s="84">
        <v>33230</v>
      </c>
      <c r="T168" s="84"/>
      <c r="U168" s="84">
        <v>24603</v>
      </c>
      <c r="V168" s="84"/>
      <c r="W168" s="84"/>
      <c r="X168" s="84">
        <v>10521</v>
      </c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5"/>
      <c r="AJ168" s="85"/>
      <c r="AK168" s="85"/>
      <c r="AL168" s="85"/>
      <c r="AM168" s="85"/>
    </row>
    <row r="169" spans="1:39" s="13" customFormat="1" ht="19.5" thickBot="1" x14ac:dyDescent="0.35">
      <c r="A169" s="249">
        <v>3020</v>
      </c>
      <c r="B169" s="59" t="s">
        <v>342</v>
      </c>
      <c r="C169" s="291">
        <v>250259</v>
      </c>
      <c r="D169" s="274"/>
      <c r="E169" s="106"/>
      <c r="F169" s="106">
        <f t="shared" si="8"/>
        <v>250259</v>
      </c>
      <c r="G169" s="106">
        <f t="shared" si="9"/>
        <v>0</v>
      </c>
      <c r="H169" s="84"/>
      <c r="I169" s="84"/>
      <c r="J169" s="84"/>
      <c r="K169" s="84"/>
      <c r="L169" s="84"/>
      <c r="M169" s="84"/>
      <c r="N169" s="84"/>
      <c r="O169" s="84">
        <v>152736</v>
      </c>
      <c r="P169" s="84"/>
      <c r="Q169" s="84"/>
      <c r="R169" s="84"/>
      <c r="S169" s="84">
        <v>97523</v>
      </c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5"/>
      <c r="AJ169" s="85"/>
      <c r="AK169" s="85"/>
      <c r="AL169" s="85"/>
      <c r="AM169" s="85"/>
    </row>
    <row r="170" spans="1:39" s="13" customFormat="1" ht="19.5" thickBot="1" x14ac:dyDescent="0.35">
      <c r="A170" s="249">
        <v>3030</v>
      </c>
      <c r="B170" s="59" t="s">
        <v>343</v>
      </c>
      <c r="C170" s="291">
        <v>57457</v>
      </c>
      <c r="D170" s="274">
        <v>9040</v>
      </c>
      <c r="E170" s="106">
        <f>IF(ISBLANK(D170),,C170)</f>
        <v>57457</v>
      </c>
      <c r="F170" s="106">
        <f t="shared" si="8"/>
        <v>0</v>
      </c>
      <c r="G170" s="106">
        <f t="shared" si="9"/>
        <v>0</v>
      </c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5"/>
      <c r="AJ170" s="85"/>
      <c r="AK170" s="85"/>
      <c r="AL170" s="85"/>
      <c r="AM170" s="85"/>
    </row>
    <row r="171" spans="1:39" s="13" customFormat="1" ht="19.5" thickBot="1" x14ac:dyDescent="0.35">
      <c r="A171" s="249">
        <v>3040</v>
      </c>
      <c r="B171" s="59" t="s">
        <v>344</v>
      </c>
      <c r="C171" s="291">
        <v>19180</v>
      </c>
      <c r="D171" s="274">
        <v>9025</v>
      </c>
      <c r="E171" s="106">
        <f>IF(ISBLANK(D171),,C171)</f>
        <v>19180</v>
      </c>
      <c r="F171" s="106">
        <f t="shared" si="8"/>
        <v>0</v>
      </c>
      <c r="G171" s="106">
        <f t="shared" si="9"/>
        <v>0</v>
      </c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5"/>
      <c r="AJ171" s="85"/>
      <c r="AK171" s="85"/>
      <c r="AL171" s="85"/>
      <c r="AM171" s="85"/>
    </row>
    <row r="172" spans="1:39" s="13" customFormat="1" ht="19.5" thickBot="1" x14ac:dyDescent="0.35">
      <c r="A172" s="249">
        <v>3050</v>
      </c>
      <c r="B172" s="59" t="s">
        <v>345</v>
      </c>
      <c r="C172" s="291">
        <v>17103</v>
      </c>
      <c r="D172" s="274">
        <v>9040</v>
      </c>
      <c r="E172" s="106">
        <f>IF(ISBLANK(D172),,C172)</f>
        <v>17103</v>
      </c>
      <c r="F172" s="106">
        <f t="shared" si="8"/>
        <v>0</v>
      </c>
      <c r="G172" s="106">
        <f t="shared" si="9"/>
        <v>0</v>
      </c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5"/>
      <c r="AJ172" s="85"/>
      <c r="AK172" s="85"/>
      <c r="AL172" s="85"/>
      <c r="AM172" s="85"/>
    </row>
    <row r="173" spans="1:39" s="13" customFormat="1" ht="19.5" thickBot="1" x14ac:dyDescent="0.35">
      <c r="A173" s="249">
        <v>3060</v>
      </c>
      <c r="B173" s="59" t="s">
        <v>490</v>
      </c>
      <c r="C173" s="291">
        <v>0</v>
      </c>
      <c r="D173" s="274"/>
      <c r="E173" s="106"/>
      <c r="F173" s="106">
        <f t="shared" ref="F173:F197" si="10">SUM(H173:AH173)</f>
        <v>0</v>
      </c>
      <c r="G173" s="106">
        <f t="shared" ref="G173:G197" si="11">IF(ISBLANK(E173),C173-F173,C173-E173)</f>
        <v>0</v>
      </c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5"/>
      <c r="AJ173" s="85"/>
      <c r="AK173" s="85"/>
      <c r="AL173" s="85"/>
      <c r="AM173" s="85"/>
    </row>
    <row r="174" spans="1:39" s="13" customFormat="1" ht="19.5" thickBot="1" x14ac:dyDescent="0.35">
      <c r="A174" s="249">
        <v>3070</v>
      </c>
      <c r="B174" s="59" t="s">
        <v>347</v>
      </c>
      <c r="C174" s="291">
        <v>21368</v>
      </c>
      <c r="D174" s="274">
        <v>9025</v>
      </c>
      <c r="E174" s="106">
        <f>IF(ISBLANK(D174),,C174)</f>
        <v>21368</v>
      </c>
      <c r="F174" s="106">
        <f t="shared" si="10"/>
        <v>0</v>
      </c>
      <c r="G174" s="106">
        <f t="shared" si="11"/>
        <v>0</v>
      </c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5"/>
      <c r="AJ174" s="85"/>
      <c r="AK174" s="85"/>
      <c r="AL174" s="85"/>
      <c r="AM174" s="85"/>
    </row>
    <row r="175" spans="1:39" s="13" customFormat="1" ht="19.5" thickBot="1" x14ac:dyDescent="0.35">
      <c r="A175" s="249">
        <v>3080</v>
      </c>
      <c r="B175" s="59" t="s">
        <v>348</v>
      </c>
      <c r="C175" s="291">
        <v>366770</v>
      </c>
      <c r="D175" s="274">
        <v>9035</v>
      </c>
      <c r="E175" s="106">
        <f>IF(ISBLANK(D175),,C175)</f>
        <v>366770</v>
      </c>
      <c r="F175" s="106">
        <f t="shared" si="10"/>
        <v>0</v>
      </c>
      <c r="G175" s="106">
        <f t="shared" si="11"/>
        <v>0</v>
      </c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5"/>
      <c r="AJ175" s="85"/>
      <c r="AK175" s="85"/>
      <c r="AL175" s="85"/>
      <c r="AM175" s="85"/>
    </row>
    <row r="176" spans="1:39" s="13" customFormat="1" ht="19.5" thickBot="1" x14ac:dyDescent="0.35">
      <c r="A176" s="249">
        <v>3085</v>
      </c>
      <c r="B176" s="59" t="s">
        <v>349</v>
      </c>
      <c r="C176" s="291">
        <v>139744</v>
      </c>
      <c r="D176" s="274"/>
      <c r="E176" s="106"/>
      <c r="F176" s="106">
        <f t="shared" si="10"/>
        <v>139744</v>
      </c>
      <c r="G176" s="106">
        <f t="shared" si="11"/>
        <v>0</v>
      </c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>
        <v>100986</v>
      </c>
      <c r="T176" s="84"/>
      <c r="U176" s="84"/>
      <c r="V176" s="84">
        <v>20905</v>
      </c>
      <c r="W176" s="84"/>
      <c r="X176" s="84"/>
      <c r="Y176" s="84"/>
      <c r="Z176" s="84"/>
      <c r="AA176" s="84"/>
      <c r="AB176" s="84"/>
      <c r="AC176" s="84"/>
      <c r="AD176" s="84"/>
      <c r="AE176" s="84">
        <v>17853</v>
      </c>
      <c r="AF176" s="84"/>
      <c r="AG176" s="84"/>
      <c r="AH176" s="84"/>
      <c r="AI176" s="85"/>
      <c r="AJ176" s="85"/>
      <c r="AK176" s="85"/>
      <c r="AL176" s="85"/>
      <c r="AM176" s="85"/>
    </row>
    <row r="177" spans="1:39" s="13" customFormat="1" ht="19.5" thickBot="1" x14ac:dyDescent="0.35">
      <c r="A177" s="249">
        <v>3090</v>
      </c>
      <c r="B177" s="59" t="s">
        <v>350</v>
      </c>
      <c r="C177" s="291">
        <v>201559</v>
      </c>
      <c r="D177" s="274"/>
      <c r="E177" s="106"/>
      <c r="F177" s="106">
        <f t="shared" si="10"/>
        <v>201559</v>
      </c>
      <c r="G177" s="106">
        <f t="shared" si="11"/>
        <v>0</v>
      </c>
      <c r="H177" s="84"/>
      <c r="I177" s="84"/>
      <c r="J177" s="84"/>
      <c r="K177" s="84"/>
      <c r="L177" s="84"/>
      <c r="M177" s="84"/>
      <c r="N177" s="84"/>
      <c r="O177" s="84">
        <v>114189</v>
      </c>
      <c r="P177" s="84"/>
      <c r="Q177" s="84"/>
      <c r="R177" s="84"/>
      <c r="S177" s="84"/>
      <c r="T177" s="84"/>
      <c r="U177" s="84"/>
      <c r="V177" s="84"/>
      <c r="W177" s="84"/>
      <c r="X177" s="84">
        <v>87370</v>
      </c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5"/>
      <c r="AJ177" s="85"/>
      <c r="AK177" s="85"/>
      <c r="AL177" s="85"/>
      <c r="AM177" s="85"/>
    </row>
    <row r="178" spans="1:39" s="13" customFormat="1" ht="19.5" thickBot="1" x14ac:dyDescent="0.35">
      <c r="A178" s="249">
        <v>3100</v>
      </c>
      <c r="B178" s="59" t="s">
        <v>351</v>
      </c>
      <c r="C178" s="291">
        <v>221689</v>
      </c>
      <c r="D178" s="274"/>
      <c r="E178" s="106"/>
      <c r="F178" s="106">
        <f t="shared" si="10"/>
        <v>221689</v>
      </c>
      <c r="G178" s="106">
        <f t="shared" si="11"/>
        <v>0</v>
      </c>
      <c r="H178" s="84"/>
      <c r="I178" s="84"/>
      <c r="J178" s="84"/>
      <c r="K178" s="84">
        <v>16544</v>
      </c>
      <c r="L178" s="84"/>
      <c r="M178" s="84">
        <v>39933</v>
      </c>
      <c r="N178" s="84">
        <v>18768</v>
      </c>
      <c r="O178" s="84">
        <v>19994</v>
      </c>
      <c r="P178" s="84">
        <v>18732</v>
      </c>
      <c r="Q178" s="84"/>
      <c r="R178" s="84">
        <v>36658</v>
      </c>
      <c r="S178" s="84">
        <v>18689</v>
      </c>
      <c r="T178" s="84">
        <v>14663</v>
      </c>
      <c r="U178" s="84">
        <v>13419</v>
      </c>
      <c r="V178" s="84">
        <v>13419</v>
      </c>
      <c r="W178" s="84"/>
      <c r="X178" s="84">
        <v>10870</v>
      </c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5"/>
      <c r="AJ178" s="85"/>
      <c r="AK178" s="85"/>
      <c r="AL178" s="85"/>
      <c r="AM178" s="85"/>
    </row>
    <row r="179" spans="1:39" s="13" customFormat="1" ht="19.5" thickBot="1" x14ac:dyDescent="0.35">
      <c r="A179" s="249">
        <v>3110</v>
      </c>
      <c r="B179" s="59" t="s">
        <v>352</v>
      </c>
      <c r="C179" s="291">
        <v>199030</v>
      </c>
      <c r="D179" s="274"/>
      <c r="E179" s="106"/>
      <c r="F179" s="106">
        <f t="shared" si="10"/>
        <v>199030</v>
      </c>
      <c r="G179" s="106">
        <f t="shared" si="11"/>
        <v>0</v>
      </c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>
        <v>199030</v>
      </c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5"/>
      <c r="AJ179" s="85"/>
      <c r="AK179" s="85"/>
      <c r="AL179" s="85"/>
      <c r="AM179" s="85"/>
    </row>
    <row r="180" spans="1:39" s="13" customFormat="1" ht="19.5" thickBot="1" x14ac:dyDescent="0.35">
      <c r="A180" s="249">
        <v>3120</v>
      </c>
      <c r="B180" s="59" t="s">
        <v>353</v>
      </c>
      <c r="C180" s="291">
        <v>4878040</v>
      </c>
      <c r="D180" s="274"/>
      <c r="E180" s="106"/>
      <c r="F180" s="106">
        <f t="shared" si="10"/>
        <v>4878040</v>
      </c>
      <c r="G180" s="106">
        <f t="shared" si="11"/>
        <v>0</v>
      </c>
      <c r="H180" s="84"/>
      <c r="I180" s="84"/>
      <c r="J180" s="84"/>
      <c r="K180" s="84"/>
      <c r="L180" s="84">
        <v>9856</v>
      </c>
      <c r="M180" s="84">
        <v>457120</v>
      </c>
      <c r="N180" s="84">
        <v>391512</v>
      </c>
      <c r="O180" s="84">
        <v>373782</v>
      </c>
      <c r="P180" s="84">
        <v>390657</v>
      </c>
      <c r="Q180" s="84">
        <v>487371</v>
      </c>
      <c r="R180" s="84">
        <v>308460</v>
      </c>
      <c r="S180" s="84">
        <f>294287+388379</f>
        <v>682666</v>
      </c>
      <c r="T180" s="84"/>
      <c r="U180" s="84"/>
      <c r="V180" s="84">
        <v>883435</v>
      </c>
      <c r="W180" s="84">
        <v>8185</v>
      </c>
      <c r="X180" s="84"/>
      <c r="Y180" s="84">
        <v>679283</v>
      </c>
      <c r="Z180" s="84">
        <v>205713</v>
      </c>
      <c r="AA180" s="84"/>
      <c r="AB180" s="84"/>
      <c r="AC180" s="84"/>
      <c r="AD180" s="84"/>
      <c r="AE180" s="84"/>
      <c r="AF180" s="84"/>
      <c r="AG180" s="84"/>
      <c r="AH180" s="84"/>
      <c r="AI180" s="85"/>
      <c r="AJ180" s="85"/>
      <c r="AK180" s="85"/>
      <c r="AL180" s="85"/>
      <c r="AM180" s="85"/>
    </row>
    <row r="181" spans="1:39" s="13" customFormat="1" ht="19.5" thickBot="1" x14ac:dyDescent="0.35">
      <c r="A181" s="249">
        <v>3130</v>
      </c>
      <c r="B181" s="59" t="s">
        <v>354</v>
      </c>
      <c r="C181" s="291">
        <v>124282</v>
      </c>
      <c r="D181" s="274">
        <v>9035</v>
      </c>
      <c r="E181" s="106">
        <f>IF(ISBLANK(D181),,C181)</f>
        <v>124282</v>
      </c>
      <c r="F181" s="106">
        <f t="shared" si="10"/>
        <v>0</v>
      </c>
      <c r="G181" s="106">
        <f t="shared" si="11"/>
        <v>0</v>
      </c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5"/>
      <c r="AJ181" s="85"/>
      <c r="AK181" s="85"/>
      <c r="AL181" s="85"/>
      <c r="AM181" s="85"/>
    </row>
    <row r="182" spans="1:39" s="287" customFormat="1" ht="19.5" thickBot="1" x14ac:dyDescent="0.35">
      <c r="A182" s="292">
        <v>3140</v>
      </c>
      <c r="B182" s="288" t="s">
        <v>355</v>
      </c>
      <c r="C182" s="291">
        <v>483950</v>
      </c>
      <c r="D182" s="274"/>
      <c r="E182" s="291"/>
      <c r="F182" s="291">
        <f t="shared" si="10"/>
        <v>483950</v>
      </c>
      <c r="G182" s="291">
        <f t="shared" si="11"/>
        <v>0</v>
      </c>
      <c r="H182" s="289"/>
      <c r="I182" s="289"/>
      <c r="J182" s="289"/>
      <c r="K182" s="289"/>
      <c r="L182" s="289"/>
      <c r="M182" s="289"/>
      <c r="N182" s="289">
        <v>73742</v>
      </c>
      <c r="O182" s="289"/>
      <c r="P182" s="289"/>
      <c r="Q182" s="289"/>
      <c r="R182" s="289">
        <v>114871</v>
      </c>
      <c r="S182" s="289">
        <v>73753</v>
      </c>
      <c r="T182" s="289"/>
      <c r="U182" s="289"/>
      <c r="V182" s="289"/>
      <c r="W182" s="289"/>
      <c r="X182" s="289">
        <v>149525</v>
      </c>
      <c r="Y182" s="289"/>
      <c r="Z182" s="289">
        <v>72059</v>
      </c>
      <c r="AA182" s="289"/>
      <c r="AB182" s="289"/>
      <c r="AC182" s="289"/>
      <c r="AD182" s="289"/>
      <c r="AE182" s="289"/>
      <c r="AF182" s="289"/>
      <c r="AG182" s="289"/>
      <c r="AH182" s="289"/>
      <c r="AI182" s="290"/>
      <c r="AJ182" s="290"/>
      <c r="AK182" s="290"/>
      <c r="AL182" s="290"/>
      <c r="AM182" s="290"/>
    </row>
    <row r="183" spans="1:39" s="13" customFormat="1" ht="19.5" thickBot="1" x14ac:dyDescent="0.35">
      <c r="A183" s="249">
        <v>3145</v>
      </c>
      <c r="B183" s="59" t="s">
        <v>356</v>
      </c>
      <c r="C183" s="291">
        <v>121121</v>
      </c>
      <c r="D183" s="274"/>
      <c r="E183" s="106"/>
      <c r="F183" s="106">
        <f t="shared" si="10"/>
        <v>121121</v>
      </c>
      <c r="G183" s="106">
        <f t="shared" si="11"/>
        <v>0</v>
      </c>
      <c r="H183" s="84"/>
      <c r="I183" s="84"/>
      <c r="J183" s="84"/>
      <c r="K183" s="84"/>
      <c r="L183" s="84"/>
      <c r="M183" s="84">
        <v>9653</v>
      </c>
      <c r="N183" s="84">
        <v>10858</v>
      </c>
      <c r="O183" s="84"/>
      <c r="P183" s="84">
        <v>16337</v>
      </c>
      <c r="Q183" s="84">
        <v>22370</v>
      </c>
      <c r="R183" s="84">
        <v>23087</v>
      </c>
      <c r="S183" s="84"/>
      <c r="T183" s="84">
        <v>18619</v>
      </c>
      <c r="U183" s="84">
        <v>5688</v>
      </c>
      <c r="V183" s="84">
        <v>9806</v>
      </c>
      <c r="W183" s="84"/>
      <c r="X183" s="84">
        <v>4703</v>
      </c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5"/>
      <c r="AJ183" s="85"/>
      <c r="AK183" s="85"/>
      <c r="AL183" s="85"/>
      <c r="AM183" s="85"/>
    </row>
    <row r="184" spans="1:39" s="13" customFormat="1" ht="19.5" thickBot="1" x14ac:dyDescent="0.35">
      <c r="A184" s="249">
        <v>3146</v>
      </c>
      <c r="B184" s="268" t="s">
        <v>357</v>
      </c>
      <c r="C184" s="291">
        <v>17643</v>
      </c>
      <c r="D184" s="274">
        <v>9035</v>
      </c>
      <c r="E184" s="106">
        <f>IF(ISBLANK(D184),,C184)</f>
        <v>17643</v>
      </c>
      <c r="F184" s="106">
        <f t="shared" si="10"/>
        <v>0</v>
      </c>
      <c r="G184" s="106">
        <f t="shared" si="11"/>
        <v>0</v>
      </c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5"/>
      <c r="AJ184" s="85"/>
      <c r="AK184" s="85"/>
      <c r="AL184" s="85"/>
      <c r="AM184" s="85"/>
    </row>
    <row r="185" spans="1:39" s="13" customFormat="1" ht="19.5" thickBot="1" x14ac:dyDescent="0.35">
      <c r="A185" s="249">
        <v>3147</v>
      </c>
      <c r="B185" s="59" t="s">
        <v>358</v>
      </c>
      <c r="C185" s="291">
        <v>19093</v>
      </c>
      <c r="D185" s="274">
        <v>9035</v>
      </c>
      <c r="E185" s="106">
        <f>IF(ISBLANK(D185),,C185)</f>
        <v>19093</v>
      </c>
      <c r="F185" s="106">
        <f t="shared" si="10"/>
        <v>0</v>
      </c>
      <c r="G185" s="106">
        <f t="shared" si="11"/>
        <v>0</v>
      </c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5"/>
      <c r="AJ185" s="85"/>
      <c r="AK185" s="85"/>
      <c r="AL185" s="85"/>
      <c r="AM185" s="85"/>
    </row>
    <row r="186" spans="1:39" s="13" customFormat="1" ht="19.5" thickBot="1" x14ac:dyDescent="0.35">
      <c r="A186" s="249">
        <v>3148</v>
      </c>
      <c r="B186" s="59" t="s">
        <v>359</v>
      </c>
      <c r="C186" s="291">
        <v>85927</v>
      </c>
      <c r="D186" s="274">
        <v>9035</v>
      </c>
      <c r="E186" s="106">
        <f>IF(ISBLANK(D186),,C186)</f>
        <v>85927</v>
      </c>
      <c r="F186" s="106">
        <f t="shared" si="10"/>
        <v>0</v>
      </c>
      <c r="G186" s="106">
        <f t="shared" si="11"/>
        <v>0</v>
      </c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5"/>
      <c r="AJ186" s="85"/>
      <c r="AK186" s="85"/>
      <c r="AL186" s="85"/>
      <c r="AM186" s="85"/>
    </row>
    <row r="187" spans="1:39" s="13" customFormat="1" ht="19.5" thickBot="1" x14ac:dyDescent="0.35">
      <c r="A187" s="249">
        <v>3200</v>
      </c>
      <c r="B187" s="59" t="s">
        <v>360</v>
      </c>
      <c r="C187" s="291">
        <v>160565</v>
      </c>
      <c r="D187" s="274"/>
      <c r="E187" s="106"/>
      <c r="F187" s="106">
        <f t="shared" si="10"/>
        <v>160565</v>
      </c>
      <c r="G187" s="106">
        <f t="shared" si="11"/>
        <v>0</v>
      </c>
      <c r="H187" s="84"/>
      <c r="I187" s="84"/>
      <c r="J187" s="84"/>
      <c r="K187" s="84"/>
      <c r="L187" s="84"/>
      <c r="M187" s="84"/>
      <c r="N187" s="84"/>
      <c r="O187" s="84"/>
      <c r="P187" s="84"/>
      <c r="Q187" s="84">
        <f>1376+16299</f>
        <v>17675</v>
      </c>
      <c r="R187" s="84"/>
      <c r="S187" s="84">
        <f>24822+31201+19057</f>
        <v>75080</v>
      </c>
      <c r="T187" s="84"/>
      <c r="U187" s="84"/>
      <c r="V187" s="84"/>
      <c r="W187" s="84">
        <f>24971+26234</f>
        <v>51205</v>
      </c>
      <c r="X187" s="84">
        <v>16605</v>
      </c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5"/>
      <c r="AJ187" s="85"/>
      <c r="AK187" s="85"/>
      <c r="AL187" s="85"/>
      <c r="AM187" s="85"/>
    </row>
    <row r="188" spans="1:39" s="13" customFormat="1" ht="19.5" thickBot="1" x14ac:dyDescent="0.35">
      <c r="A188" s="249">
        <v>3210</v>
      </c>
      <c r="B188" s="59" t="s">
        <v>361</v>
      </c>
      <c r="C188" s="291">
        <v>75818</v>
      </c>
      <c r="D188" s="274"/>
      <c r="E188" s="106"/>
      <c r="F188" s="106">
        <f t="shared" si="10"/>
        <v>75818</v>
      </c>
      <c r="G188" s="106">
        <f t="shared" si="11"/>
        <v>0</v>
      </c>
      <c r="H188" s="84"/>
      <c r="I188" s="84"/>
      <c r="J188" s="84"/>
      <c r="K188" s="84"/>
      <c r="L188" s="84"/>
      <c r="M188" s="84"/>
      <c r="N188" s="84">
        <v>22597</v>
      </c>
      <c r="O188" s="84"/>
      <c r="P188" s="84"/>
      <c r="Q188" s="84"/>
      <c r="R188" s="84"/>
      <c r="S188" s="84">
        <v>53221</v>
      </c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5"/>
      <c r="AJ188" s="85"/>
      <c r="AK188" s="85"/>
      <c r="AL188" s="85"/>
      <c r="AM188" s="85"/>
    </row>
    <row r="189" spans="1:39" s="13" customFormat="1" ht="19.5" thickBot="1" x14ac:dyDescent="0.35">
      <c r="A189" s="249">
        <v>3220</v>
      </c>
      <c r="B189" s="59" t="s">
        <v>362</v>
      </c>
      <c r="C189" s="291">
        <v>11555</v>
      </c>
      <c r="D189" s="274">
        <v>9025</v>
      </c>
      <c r="E189" s="106">
        <f>IF(ISBLANK(D189),,C189)</f>
        <v>11555</v>
      </c>
      <c r="F189" s="106">
        <f t="shared" si="10"/>
        <v>0</v>
      </c>
      <c r="G189" s="106">
        <f t="shared" si="11"/>
        <v>0</v>
      </c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5"/>
      <c r="AJ189" s="85"/>
      <c r="AK189" s="85"/>
      <c r="AL189" s="85"/>
      <c r="AM189" s="85"/>
    </row>
    <row r="190" spans="1:39" s="13" customFormat="1" ht="19.5" thickBot="1" x14ac:dyDescent="0.35">
      <c r="A190" s="249">
        <v>3230</v>
      </c>
      <c r="B190" s="59" t="s">
        <v>491</v>
      </c>
      <c r="C190" s="291">
        <v>0</v>
      </c>
      <c r="D190" s="274"/>
      <c r="E190" s="106"/>
      <c r="F190" s="106">
        <f t="shared" si="10"/>
        <v>0</v>
      </c>
      <c r="G190" s="106">
        <f t="shared" si="11"/>
        <v>0</v>
      </c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5"/>
      <c r="AJ190" s="85"/>
      <c r="AK190" s="85"/>
      <c r="AL190" s="85"/>
      <c r="AM190" s="85"/>
    </row>
    <row r="191" spans="1:39" s="13" customFormat="1" ht="19.5" thickBot="1" x14ac:dyDescent="0.35">
      <c r="A191" s="246">
        <v>8001</v>
      </c>
      <c r="B191" s="59" t="s">
        <v>365</v>
      </c>
      <c r="C191" s="291">
        <v>1296463</v>
      </c>
      <c r="D191" s="275"/>
      <c r="E191" s="106"/>
      <c r="F191" s="106">
        <f t="shared" si="10"/>
        <v>1296463</v>
      </c>
      <c r="G191" s="106">
        <f t="shared" si="11"/>
        <v>0</v>
      </c>
      <c r="H191" s="84"/>
      <c r="I191" s="84"/>
      <c r="J191" s="84"/>
      <c r="K191" s="84"/>
      <c r="L191" s="84"/>
      <c r="M191" s="84"/>
      <c r="N191" s="84">
        <v>8429</v>
      </c>
      <c r="O191" s="84"/>
      <c r="P191" s="84"/>
      <c r="Q191" s="84">
        <v>98889</v>
      </c>
      <c r="R191" s="84">
        <v>102790</v>
      </c>
      <c r="S191" s="84">
        <f>211218+226733</f>
        <v>437951</v>
      </c>
      <c r="T191" s="84">
        <f>56340+211419+19866</f>
        <v>287625</v>
      </c>
      <c r="U191" s="84"/>
      <c r="V191" s="84">
        <f>168767+2178+1073+95251</f>
        <v>267269</v>
      </c>
      <c r="W191" s="84">
        <v>93510</v>
      </c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5"/>
      <c r="AJ191" s="85"/>
      <c r="AK191" s="85"/>
      <c r="AL191" s="85"/>
      <c r="AM191" s="85"/>
    </row>
    <row r="192" spans="1:39" s="13" customFormat="1" ht="19.5" thickBot="1" x14ac:dyDescent="0.35">
      <c r="A192" s="249">
        <v>9000</v>
      </c>
      <c r="B192" s="59" t="s">
        <v>366</v>
      </c>
      <c r="C192" s="291">
        <v>112568</v>
      </c>
      <c r="D192" s="275"/>
      <c r="E192" s="106"/>
      <c r="F192" s="106">
        <f t="shared" si="10"/>
        <v>112568</v>
      </c>
      <c r="G192" s="106">
        <f t="shared" si="11"/>
        <v>0</v>
      </c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>
        <v>87185</v>
      </c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>
        <v>25383</v>
      </c>
      <c r="AH192" s="84"/>
      <c r="AI192" s="85"/>
      <c r="AJ192" s="85"/>
      <c r="AK192" s="85"/>
      <c r="AL192" s="85"/>
      <c r="AM192" s="85"/>
    </row>
    <row r="193" spans="1:39" s="13" customFormat="1" ht="19.5" thickBot="1" x14ac:dyDescent="0.35">
      <c r="A193" s="245">
        <v>9025</v>
      </c>
      <c r="B193" s="269" t="s">
        <v>380</v>
      </c>
      <c r="C193" s="106">
        <f>SUMIF(D13:D192,"9025",E13:E192)</f>
        <v>719819</v>
      </c>
      <c r="D193" s="276"/>
      <c r="E193" s="106"/>
      <c r="F193" s="106">
        <f t="shared" si="10"/>
        <v>719819</v>
      </c>
      <c r="G193" s="106">
        <f t="shared" si="11"/>
        <v>0</v>
      </c>
      <c r="H193" s="84"/>
      <c r="I193" s="84"/>
      <c r="J193" s="84"/>
      <c r="K193" s="84"/>
      <c r="L193" s="84"/>
      <c r="M193" s="84">
        <v>125030</v>
      </c>
      <c r="N193" s="84"/>
      <c r="O193" s="84">
        <v>11850</v>
      </c>
      <c r="P193" s="84">
        <v>42284</v>
      </c>
      <c r="Q193" s="84">
        <v>140909</v>
      </c>
      <c r="R193" s="84">
        <v>38687</v>
      </c>
      <c r="S193" s="84">
        <v>104204</v>
      </c>
      <c r="T193" s="84">
        <v>66548</v>
      </c>
      <c r="U193" s="84">
        <v>108184</v>
      </c>
      <c r="V193" s="84"/>
      <c r="W193" s="84"/>
      <c r="X193" s="84"/>
      <c r="Y193" s="84">
        <v>61317</v>
      </c>
      <c r="Z193" s="84"/>
      <c r="AA193" s="84"/>
      <c r="AB193" s="84"/>
      <c r="AC193" s="84"/>
      <c r="AD193" s="84"/>
      <c r="AE193" s="84"/>
      <c r="AF193" s="84">
        <v>20806</v>
      </c>
      <c r="AG193" s="84"/>
      <c r="AH193" s="84"/>
      <c r="AI193" s="85"/>
      <c r="AJ193" s="85"/>
      <c r="AK193" s="85"/>
      <c r="AL193" s="85"/>
      <c r="AM193" s="85"/>
    </row>
    <row r="194" spans="1:39" s="13" customFormat="1" ht="19.5" thickBot="1" x14ac:dyDescent="0.35">
      <c r="A194" s="245">
        <v>9035</v>
      </c>
      <c r="B194" s="269" t="s">
        <v>381</v>
      </c>
      <c r="C194" s="106">
        <f>SUMIF(D13:D192,"9035",E13:E192)</f>
        <v>915445</v>
      </c>
      <c r="D194" s="276"/>
      <c r="E194" s="106"/>
      <c r="F194" s="106">
        <f t="shared" si="10"/>
        <v>915445</v>
      </c>
      <c r="G194" s="106">
        <f t="shared" si="11"/>
        <v>0</v>
      </c>
      <c r="H194" s="84"/>
      <c r="I194" s="84"/>
      <c r="J194" s="84"/>
      <c r="K194" s="84"/>
      <c r="L194" s="84"/>
      <c r="M194" s="84"/>
      <c r="N194" s="84">
        <v>112749</v>
      </c>
      <c r="O194" s="84">
        <v>230000</v>
      </c>
      <c r="P194" s="84">
        <v>90000</v>
      </c>
      <c r="Q194" s="84">
        <v>85000</v>
      </c>
      <c r="R194" s="84">
        <v>124000</v>
      </c>
      <c r="S194" s="84">
        <v>75000</v>
      </c>
      <c r="T194" s="84">
        <v>61100</v>
      </c>
      <c r="U194" s="84">
        <v>58000</v>
      </c>
      <c r="V194" s="84">
        <v>21190</v>
      </c>
      <c r="W194" s="84"/>
      <c r="X194" s="84">
        <v>4038</v>
      </c>
      <c r="Y194" s="84">
        <v>4350</v>
      </c>
      <c r="Z194" s="84">
        <v>50018</v>
      </c>
      <c r="AA194" s="84"/>
      <c r="AB194" s="84"/>
      <c r="AC194" s="84"/>
      <c r="AD194" s="84"/>
      <c r="AE194" s="84"/>
      <c r="AF194" s="84"/>
      <c r="AG194" s="84"/>
      <c r="AH194" s="84"/>
      <c r="AI194" s="85"/>
      <c r="AJ194" s="85"/>
      <c r="AK194" s="85"/>
      <c r="AL194" s="85"/>
      <c r="AM194" s="85"/>
    </row>
    <row r="195" spans="1:39" ht="16.5" thickBot="1" x14ac:dyDescent="0.3">
      <c r="A195" s="245">
        <v>9040</v>
      </c>
      <c r="B195" s="66" t="s">
        <v>382</v>
      </c>
      <c r="C195" s="106">
        <f>SUMIF(D13:D192,"9040",E13:E192)</f>
        <v>271702</v>
      </c>
      <c r="D195" s="276"/>
      <c r="E195" s="106"/>
      <c r="F195" s="106">
        <f t="shared" si="10"/>
        <v>271702</v>
      </c>
      <c r="G195" s="106">
        <f t="shared" si="11"/>
        <v>0</v>
      </c>
      <c r="H195" s="86"/>
      <c r="I195" s="86"/>
      <c r="J195" s="86"/>
      <c r="K195" s="86"/>
      <c r="L195" s="86"/>
      <c r="M195" s="86"/>
      <c r="N195" s="84"/>
      <c r="O195" s="86">
        <v>144378</v>
      </c>
      <c r="P195" s="86"/>
      <c r="Q195" s="86"/>
      <c r="R195" s="86">
        <v>49378</v>
      </c>
      <c r="S195" s="86">
        <v>67911</v>
      </c>
      <c r="T195" s="86"/>
      <c r="U195" s="86"/>
      <c r="V195" s="86">
        <v>321</v>
      </c>
      <c r="W195" s="86">
        <v>2000</v>
      </c>
      <c r="X195" s="86">
        <v>7714</v>
      </c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7"/>
      <c r="AJ195" s="87"/>
      <c r="AK195" s="87"/>
      <c r="AL195" s="87"/>
      <c r="AM195" s="87"/>
    </row>
    <row r="196" spans="1:39" ht="16.5" thickBot="1" x14ac:dyDescent="0.3">
      <c r="A196" s="245">
        <v>9095</v>
      </c>
      <c r="B196" s="269" t="s">
        <v>383</v>
      </c>
      <c r="C196" s="106">
        <f>SUMIF(D13:D192,"9095",E13:E192)</f>
        <v>101109</v>
      </c>
      <c r="D196" s="276"/>
      <c r="E196" s="106"/>
      <c r="F196" s="106">
        <f t="shared" si="10"/>
        <v>101109</v>
      </c>
      <c r="G196" s="106">
        <f t="shared" si="11"/>
        <v>0</v>
      </c>
      <c r="H196" s="86"/>
      <c r="I196" s="86"/>
      <c r="J196" s="86"/>
      <c r="K196" s="86"/>
      <c r="L196" s="86"/>
      <c r="M196" s="86"/>
      <c r="N196" s="84"/>
      <c r="O196" s="86"/>
      <c r="P196" s="86"/>
      <c r="Q196" s="86"/>
      <c r="R196" s="86"/>
      <c r="S196" s="86"/>
      <c r="T196" s="86"/>
      <c r="U196" s="86">
        <v>101109</v>
      </c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7"/>
      <c r="AJ196" s="87"/>
      <c r="AK196" s="87"/>
      <c r="AL196" s="87"/>
      <c r="AM196" s="87"/>
    </row>
    <row r="197" spans="1:39" ht="16.5" thickBot="1" x14ac:dyDescent="0.3">
      <c r="A197" s="245">
        <v>9125</v>
      </c>
      <c r="B197" s="67" t="s">
        <v>384</v>
      </c>
      <c r="C197" s="106">
        <f>SUMIF(D13:D192,"9125",E13:E192)</f>
        <v>0</v>
      </c>
      <c r="D197" s="276"/>
      <c r="E197" s="106"/>
      <c r="F197" s="106">
        <f t="shared" si="10"/>
        <v>0</v>
      </c>
      <c r="G197" s="106">
        <f t="shared" si="11"/>
        <v>0</v>
      </c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7"/>
      <c r="AJ197" s="87"/>
      <c r="AK197" s="87"/>
      <c r="AL197" s="87"/>
      <c r="AM197" s="87"/>
    </row>
    <row r="198" spans="1:39" ht="16.5" thickBot="1" x14ac:dyDescent="0.3">
      <c r="A198" s="135"/>
      <c r="B198" s="67"/>
      <c r="C198" s="237"/>
      <c r="D198" s="276"/>
      <c r="E198" s="106"/>
      <c r="F198" s="106"/>
      <c r="G198" s="10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7"/>
      <c r="AJ198" s="87"/>
      <c r="AK198" s="87"/>
      <c r="AL198" s="87"/>
      <c r="AM198" s="87"/>
    </row>
    <row r="199" spans="1:39" s="174" customFormat="1" ht="16.5" thickBot="1" x14ac:dyDescent="0.3">
      <c r="A199" s="169"/>
      <c r="B199" s="169"/>
      <c r="C199" s="171">
        <f>SUM(C13:C197)-E199</f>
        <v>131337143</v>
      </c>
      <c r="D199" s="272" t="s">
        <v>396</v>
      </c>
      <c r="E199" s="171">
        <f>SUM(E13:E197)</f>
        <v>2008075</v>
      </c>
      <c r="F199" s="171">
        <f t="shared" ref="F199:AH199" si="12">SUM(F13:F197)</f>
        <v>131318260</v>
      </c>
      <c r="G199" s="171">
        <f t="shared" si="12"/>
        <v>18883</v>
      </c>
      <c r="H199" s="171">
        <f t="shared" si="12"/>
        <v>0</v>
      </c>
      <c r="I199" s="171">
        <f t="shared" si="12"/>
        <v>0</v>
      </c>
      <c r="J199" s="171">
        <f t="shared" si="12"/>
        <v>0</v>
      </c>
      <c r="K199" s="171">
        <f t="shared" si="12"/>
        <v>525303</v>
      </c>
      <c r="L199" s="171">
        <f t="shared" si="12"/>
        <v>3814616</v>
      </c>
      <c r="M199" s="171">
        <f t="shared" si="12"/>
        <v>4627029</v>
      </c>
      <c r="N199" s="171">
        <f t="shared" si="12"/>
        <v>5971419</v>
      </c>
      <c r="O199" s="171">
        <f t="shared" si="12"/>
        <v>10374441</v>
      </c>
      <c r="P199" s="171">
        <f t="shared" si="12"/>
        <v>13580013</v>
      </c>
      <c r="Q199" s="171">
        <f t="shared" si="12"/>
        <v>10346393</v>
      </c>
      <c r="R199" s="171">
        <f t="shared" si="12"/>
        <v>15323499</v>
      </c>
      <c r="S199" s="171">
        <f t="shared" si="12"/>
        <v>18361153</v>
      </c>
      <c r="T199" s="171">
        <f t="shared" si="12"/>
        <v>4728625</v>
      </c>
      <c r="U199" s="171">
        <f t="shared" si="12"/>
        <v>11344436</v>
      </c>
      <c r="V199" s="171">
        <f t="shared" si="12"/>
        <v>6948131</v>
      </c>
      <c r="W199" s="171">
        <f t="shared" si="12"/>
        <v>1884508</v>
      </c>
      <c r="X199" s="171">
        <f t="shared" si="12"/>
        <v>9492336</v>
      </c>
      <c r="Y199" s="171">
        <f t="shared" si="12"/>
        <v>8361105</v>
      </c>
      <c r="Z199" s="171">
        <f t="shared" si="12"/>
        <v>2645622</v>
      </c>
      <c r="AA199" s="171">
        <f t="shared" si="12"/>
        <v>1874100</v>
      </c>
      <c r="AB199" s="171">
        <f t="shared" si="12"/>
        <v>518256</v>
      </c>
      <c r="AC199" s="171">
        <f t="shared" si="12"/>
        <v>494456</v>
      </c>
      <c r="AD199" s="171">
        <f t="shared" si="12"/>
        <v>13314</v>
      </c>
      <c r="AE199" s="171">
        <f t="shared" si="12"/>
        <v>33702</v>
      </c>
      <c r="AF199" s="171">
        <f t="shared" si="12"/>
        <v>20806</v>
      </c>
      <c r="AG199" s="171">
        <f t="shared" si="12"/>
        <v>30908</v>
      </c>
      <c r="AH199" s="171">
        <f t="shared" si="12"/>
        <v>4089</v>
      </c>
      <c r="AI199" s="173"/>
      <c r="AJ199" s="173"/>
      <c r="AK199" s="173"/>
      <c r="AL199" s="173"/>
      <c r="AM199" s="173"/>
    </row>
    <row r="200" spans="1:39" ht="18.75" x14ac:dyDescent="0.3">
      <c r="A200" s="82"/>
      <c r="B200" s="82"/>
      <c r="C200" s="235"/>
      <c r="D200" s="83"/>
      <c r="E200" s="82"/>
      <c r="F200" s="82"/>
      <c r="G200" s="82"/>
      <c r="W200" s="241"/>
      <c r="Y200" s="241"/>
    </row>
    <row r="201" spans="1:39" ht="18.75" x14ac:dyDescent="0.3">
      <c r="A201" s="22" t="s">
        <v>364</v>
      </c>
      <c r="B201" s="22" t="s">
        <v>399</v>
      </c>
      <c r="C201" s="235"/>
      <c r="D201" s="197"/>
      <c r="E201" s="82"/>
      <c r="F201" s="82"/>
      <c r="G201" s="198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V201" s="241"/>
      <c r="Z201" s="241"/>
    </row>
    <row r="202" spans="1:39" ht="18.75" x14ac:dyDescent="0.3">
      <c r="C202" s="236"/>
      <c r="D202" s="197"/>
      <c r="U202" s="241"/>
      <c r="W202" s="241"/>
    </row>
    <row r="203" spans="1:39" x14ac:dyDescent="0.25">
      <c r="C203" s="236"/>
      <c r="D203" s="25"/>
    </row>
    <row r="204" spans="1:39" x14ac:dyDescent="0.25">
      <c r="C204" s="236"/>
      <c r="D204" s="25"/>
    </row>
    <row r="205" spans="1:39" x14ac:dyDescent="0.25">
      <c r="C205" s="236"/>
      <c r="D205" s="25"/>
    </row>
    <row r="206" spans="1:39" x14ac:dyDescent="0.25">
      <c r="C206" s="236"/>
      <c r="D206" s="25"/>
    </row>
    <row r="207" spans="1:39" x14ac:dyDescent="0.25">
      <c r="C207" s="236"/>
      <c r="D207" s="25"/>
    </row>
    <row r="208" spans="1:39" x14ac:dyDescent="0.25">
      <c r="C208" s="236"/>
      <c r="D208" s="25"/>
    </row>
    <row r="209" spans="3:4" x14ac:dyDescent="0.25">
      <c r="C209" s="236"/>
      <c r="D209" s="25"/>
    </row>
    <row r="210" spans="3:4" x14ac:dyDescent="0.25">
      <c r="C210" s="236"/>
      <c r="D210" s="25"/>
    </row>
    <row r="211" spans="3:4" x14ac:dyDescent="0.25">
      <c r="C211" s="236"/>
      <c r="D211" s="25"/>
    </row>
    <row r="212" spans="3:4" x14ac:dyDescent="0.25">
      <c r="C212" s="236"/>
      <c r="D212" s="25"/>
    </row>
    <row r="213" spans="3:4" x14ac:dyDescent="0.25">
      <c r="C213" s="236"/>
      <c r="D213" s="25"/>
    </row>
    <row r="214" spans="3:4" x14ac:dyDescent="0.25">
      <c r="C214" s="236"/>
      <c r="D214" s="25"/>
    </row>
    <row r="215" spans="3:4" x14ac:dyDescent="0.25">
      <c r="C215" s="236"/>
      <c r="D215" s="25"/>
    </row>
    <row r="216" spans="3:4" x14ac:dyDescent="0.25">
      <c r="C216" s="236"/>
      <c r="D216" s="25"/>
    </row>
    <row r="217" spans="3:4" x14ac:dyDescent="0.25">
      <c r="C217" s="236"/>
      <c r="D217" s="25"/>
    </row>
    <row r="218" spans="3:4" x14ac:dyDescent="0.25">
      <c r="C218" s="236"/>
      <c r="D218" s="25"/>
    </row>
    <row r="219" spans="3:4" x14ac:dyDescent="0.25">
      <c r="C219" s="236"/>
      <c r="D219" s="25"/>
    </row>
    <row r="220" spans="3:4" x14ac:dyDescent="0.25">
      <c r="D220" s="25"/>
    </row>
    <row r="221" spans="3:4" x14ac:dyDescent="0.25">
      <c r="D221" s="25"/>
    </row>
    <row r="222" spans="3:4" x14ac:dyDescent="0.25">
      <c r="D222" s="25"/>
    </row>
    <row r="223" spans="3:4" x14ac:dyDescent="0.25">
      <c r="D223" s="25"/>
    </row>
    <row r="224" spans="3:4" x14ac:dyDescent="0.25">
      <c r="D224" s="25"/>
    </row>
    <row r="225" spans="4:4" x14ac:dyDescent="0.25">
      <c r="D225" s="25"/>
    </row>
    <row r="226" spans="4:4" x14ac:dyDescent="0.25">
      <c r="D226" s="25"/>
    </row>
    <row r="227" spans="4:4" x14ac:dyDescent="0.25">
      <c r="D227" s="25"/>
    </row>
    <row r="228" spans="4:4" x14ac:dyDescent="0.25">
      <c r="D228" s="25"/>
    </row>
  </sheetData>
  <sheetProtection algorithmName="SHA-512" hashValue="JuDM0UmH2zHc8SepopOz5lmbR1I5JiKmYgFHu2ZxStOFxmkzLeuR0ZERmxkKl8lwADEUtukB43Wd7QrWgsgcPg==" saltValue="CIG1zyW9BeZ7jP53RwsJNw==" spinCount="100000" sheet="1" objects="1" scenarios="1"/>
  <pageMargins left="0.1" right="0.1" top="0.1" bottom="0.1" header="0.5" footer="0.5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F202"/>
  <sheetViews>
    <sheetView workbookViewId="0">
      <pane xSplit="5" ySplit="24" topLeftCell="AD25" activePane="bottomRight" state="frozen"/>
      <selection activeCell="AA10" sqref="AA10"/>
      <selection pane="topRight" activeCell="AA10" sqref="AA10"/>
      <selection pane="bottomLeft" activeCell="AA10" sqref="AA10"/>
      <selection pane="bottomRight" activeCell="AD25" sqref="AD25"/>
    </sheetView>
  </sheetViews>
  <sheetFormatPr defaultColWidth="9.140625" defaultRowHeight="15" x14ac:dyDescent="0.25"/>
  <cols>
    <col min="1" max="1" width="9.140625" style="2"/>
    <col min="2" max="2" width="36.7109375" style="2" customWidth="1"/>
    <col min="3" max="3" width="20.85546875" style="2" customWidth="1"/>
    <col min="4" max="4" width="18.85546875" style="2" customWidth="1"/>
    <col min="5" max="5" width="17" style="2" customWidth="1"/>
    <col min="6" max="20" width="15.7109375" style="2" customWidth="1"/>
    <col min="21" max="21" width="12.5703125" style="2" bestFit="1" customWidth="1"/>
    <col min="22" max="22" width="15" style="2" bestFit="1" customWidth="1"/>
    <col min="23" max="23" width="14.7109375" style="2" bestFit="1" customWidth="1"/>
    <col min="24" max="24" width="12.140625" style="2" bestFit="1" customWidth="1"/>
    <col min="25" max="25" width="13.42578125" style="2" bestFit="1" customWidth="1"/>
    <col min="26" max="26" width="11" style="2" bestFit="1" customWidth="1"/>
    <col min="27" max="27" width="9.7109375" style="2" bestFit="1" customWidth="1"/>
    <col min="28" max="28" width="9.28515625" style="2" bestFit="1" customWidth="1"/>
    <col min="29" max="29" width="9.5703125" style="2" bestFit="1" customWidth="1"/>
    <col min="30" max="30" width="8.85546875" style="2" bestFit="1" customWidth="1"/>
    <col min="31" max="31" width="11.5703125" style="2" bestFit="1" customWidth="1"/>
    <col min="32" max="32" width="15.42578125" style="2" bestFit="1" customWidth="1"/>
    <col min="33" max="16384" width="9.140625" style="2"/>
  </cols>
  <sheetData>
    <row r="1" spans="1:32" ht="21" x14ac:dyDescent="0.35">
      <c r="A1" s="26" t="s">
        <v>0</v>
      </c>
      <c r="B1" s="27"/>
      <c r="C1" s="28" t="s">
        <v>393</v>
      </c>
      <c r="D1" s="26"/>
      <c r="E1" s="29"/>
      <c r="F1" s="30"/>
      <c r="G1" s="30"/>
      <c r="H1" s="28" t="str">
        <f>A1</f>
        <v>Grant:</v>
      </c>
      <c r="I1" s="28" t="str">
        <f>C1</f>
        <v>Title I-C Migrant</v>
      </c>
      <c r="J1" s="26"/>
      <c r="K1" s="26"/>
      <c r="L1" s="29"/>
      <c r="M1" s="29"/>
      <c r="N1" s="30"/>
      <c r="O1" s="30"/>
      <c r="P1" s="28" t="s">
        <v>0</v>
      </c>
      <c r="Q1" s="28" t="str">
        <f>I1</f>
        <v>Title I-C Migrant</v>
      </c>
      <c r="R1" s="26"/>
      <c r="S1" s="26"/>
      <c r="T1" s="29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32" ht="21" x14ac:dyDescent="0.35">
      <c r="A2" s="31" t="s">
        <v>1</v>
      </c>
      <c r="B2" s="27"/>
      <c r="C2" s="32">
        <v>84.010999999999996</v>
      </c>
      <c r="D2" s="31"/>
      <c r="E2" s="33"/>
      <c r="F2" s="30"/>
      <c r="G2" s="30"/>
      <c r="H2" s="31" t="s">
        <v>2</v>
      </c>
      <c r="I2" s="28" t="str">
        <f>$C$4</f>
        <v>2013-14</v>
      </c>
      <c r="J2" s="28" t="s">
        <v>396</v>
      </c>
      <c r="K2" s="34"/>
      <c r="L2" s="33"/>
      <c r="M2" s="33"/>
      <c r="N2" s="33"/>
      <c r="O2" s="33"/>
      <c r="P2" s="31" t="s">
        <v>2</v>
      </c>
      <c r="Q2" s="28" t="str">
        <f>$C$4</f>
        <v>2013-14</v>
      </c>
      <c r="R2" s="28" t="s">
        <v>396</v>
      </c>
      <c r="S2" s="34"/>
      <c r="T2" s="33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</row>
    <row r="3" spans="1:32" ht="21" x14ac:dyDescent="0.35">
      <c r="A3" s="31" t="s">
        <v>4</v>
      </c>
      <c r="B3" s="27"/>
      <c r="C3" s="34">
        <v>4011</v>
      </c>
      <c r="D3" s="31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</row>
    <row r="4" spans="1:32" ht="21" x14ac:dyDescent="0.35">
      <c r="A4" s="31" t="s">
        <v>2</v>
      </c>
      <c r="B4" s="27"/>
      <c r="C4" s="28" t="str">
        <f>'NCLB Title I-A Formula'!$C$4</f>
        <v>2013-14</v>
      </c>
      <c r="D4" s="33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</row>
    <row r="5" spans="1:32" ht="21" x14ac:dyDescent="0.35">
      <c r="A5" s="31" t="s">
        <v>437</v>
      </c>
      <c r="B5" s="27"/>
      <c r="C5" s="31" t="s">
        <v>483</v>
      </c>
      <c r="D5" s="31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</row>
    <row r="6" spans="1:32" ht="21" x14ac:dyDescent="0.35">
      <c r="A6" s="31" t="s">
        <v>5</v>
      </c>
      <c r="B6" s="27"/>
      <c r="C6" s="31" t="s">
        <v>6</v>
      </c>
      <c r="D6" s="31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</row>
    <row r="7" spans="1:32" ht="21" x14ac:dyDescent="0.35">
      <c r="A7" s="31" t="s">
        <v>388</v>
      </c>
      <c r="B7" s="27"/>
      <c r="C7" s="31" t="s">
        <v>459</v>
      </c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</row>
    <row r="8" spans="1:32" ht="21" x14ac:dyDescent="0.35">
      <c r="A8" s="31" t="s">
        <v>389</v>
      </c>
      <c r="B8" s="27"/>
      <c r="C8" s="31" t="s">
        <v>390</v>
      </c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</row>
    <row r="9" spans="1:32" s="20" customFormat="1" ht="21.75" thickBot="1" x14ac:dyDescent="0.4">
      <c r="A9" s="31" t="s">
        <v>438</v>
      </c>
      <c r="B9" s="27"/>
      <c r="C9" s="31" t="s">
        <v>482</v>
      </c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</row>
    <row r="10" spans="1:32" s="5" customFormat="1" ht="32.25" customHeight="1" thickBot="1" x14ac:dyDescent="0.3">
      <c r="A10" s="128" t="s">
        <v>370</v>
      </c>
      <c r="B10" s="129" t="s">
        <v>371</v>
      </c>
      <c r="C10" s="130" t="s">
        <v>372</v>
      </c>
      <c r="D10" s="129" t="s">
        <v>373</v>
      </c>
      <c r="E10" s="73" t="s">
        <v>374</v>
      </c>
      <c r="F10" s="132" t="s">
        <v>385</v>
      </c>
      <c r="G10" s="132" t="s">
        <v>386</v>
      </c>
      <c r="H10" s="132" t="s">
        <v>387</v>
      </c>
      <c r="I10" s="132" t="s">
        <v>450</v>
      </c>
      <c r="J10" s="132" t="s">
        <v>451</v>
      </c>
      <c r="K10" s="132" t="s">
        <v>452</v>
      </c>
      <c r="L10" s="132" t="s">
        <v>453</v>
      </c>
      <c r="M10" s="132" t="s">
        <v>454</v>
      </c>
      <c r="N10" s="132" t="s">
        <v>455</v>
      </c>
      <c r="O10" s="132" t="s">
        <v>456</v>
      </c>
      <c r="P10" s="132" t="s">
        <v>457</v>
      </c>
      <c r="Q10" s="132" t="s">
        <v>458</v>
      </c>
      <c r="R10" s="132" t="s">
        <v>447</v>
      </c>
      <c r="S10" s="132" t="s">
        <v>448</v>
      </c>
      <c r="T10" s="132" t="s">
        <v>449</v>
      </c>
      <c r="U10" s="132" t="s">
        <v>464</v>
      </c>
      <c r="V10" s="132" t="s">
        <v>465</v>
      </c>
      <c r="W10" s="132" t="s">
        <v>466</v>
      </c>
      <c r="X10" s="132" t="s">
        <v>467</v>
      </c>
      <c r="Y10" s="132" t="s">
        <v>468</v>
      </c>
      <c r="Z10" s="132" t="s">
        <v>469</v>
      </c>
      <c r="AA10" s="132" t="s">
        <v>470</v>
      </c>
      <c r="AB10" s="132" t="s">
        <v>471</v>
      </c>
      <c r="AC10" s="132" t="s">
        <v>472</v>
      </c>
      <c r="AD10" s="132" t="s">
        <v>473</v>
      </c>
      <c r="AE10" s="132" t="s">
        <v>474</v>
      </c>
      <c r="AF10" s="132" t="s">
        <v>475</v>
      </c>
    </row>
    <row r="11" spans="1:32" s="4" customFormat="1" ht="19.5" hidden="1" thickBot="1" x14ac:dyDescent="0.35">
      <c r="A11" s="127" t="s">
        <v>8</v>
      </c>
      <c r="B11" s="57" t="s">
        <v>186</v>
      </c>
      <c r="C11" s="125">
        <v>0</v>
      </c>
      <c r="D11" s="107">
        <f t="shared" ref="D11:D24" si="0">SUM(F11:T11)</f>
        <v>0</v>
      </c>
      <c r="E11" s="119">
        <f>C11-D11</f>
        <v>0</v>
      </c>
      <c r="F11" s="97"/>
      <c r="G11" s="97"/>
      <c r="H11" s="97"/>
      <c r="I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spans="1:32" s="4" customFormat="1" ht="19.5" hidden="1" thickBot="1" x14ac:dyDescent="0.35">
      <c r="A12" s="58" t="s">
        <v>9</v>
      </c>
      <c r="B12" s="59" t="s">
        <v>187</v>
      </c>
      <c r="C12" s="62">
        <v>0</v>
      </c>
      <c r="D12" s="105">
        <f t="shared" si="0"/>
        <v>0</v>
      </c>
      <c r="E12" s="120">
        <f t="shared" ref="E12:E75" si="1">C12-D12</f>
        <v>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1:32" s="4" customFormat="1" ht="19.5" hidden="1" thickBot="1" x14ac:dyDescent="0.35">
      <c r="A13" s="58" t="s">
        <v>10</v>
      </c>
      <c r="B13" s="59" t="s">
        <v>188</v>
      </c>
      <c r="C13" s="62">
        <v>0</v>
      </c>
      <c r="D13" s="105">
        <f t="shared" si="0"/>
        <v>0</v>
      </c>
      <c r="E13" s="120">
        <f t="shared" si="1"/>
        <v>0</v>
      </c>
      <c r="F13" s="97"/>
      <c r="G13" s="97"/>
      <c r="H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32" s="4" customFormat="1" ht="19.5" hidden="1" thickBot="1" x14ac:dyDescent="0.35">
      <c r="A14" s="58" t="s">
        <v>11</v>
      </c>
      <c r="B14" s="59" t="s">
        <v>189</v>
      </c>
      <c r="C14" s="62">
        <v>0</v>
      </c>
      <c r="D14" s="105">
        <f t="shared" si="0"/>
        <v>0</v>
      </c>
      <c r="E14" s="120">
        <f t="shared" si="1"/>
        <v>0</v>
      </c>
      <c r="F14" s="97"/>
      <c r="G14" s="97"/>
      <c r="H14" s="97"/>
      <c r="I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1:32" s="4" customFormat="1" ht="19.5" hidden="1" thickBot="1" x14ac:dyDescent="0.35">
      <c r="A15" s="58" t="s">
        <v>12</v>
      </c>
      <c r="B15" s="59" t="s">
        <v>190</v>
      </c>
      <c r="C15" s="62">
        <v>0</v>
      </c>
      <c r="D15" s="105">
        <f t="shared" si="0"/>
        <v>0</v>
      </c>
      <c r="E15" s="120">
        <f t="shared" si="1"/>
        <v>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32" s="4" customFormat="1" ht="19.5" hidden="1" thickBot="1" x14ac:dyDescent="0.35">
      <c r="A16" s="58" t="s">
        <v>13</v>
      </c>
      <c r="B16" s="59" t="s">
        <v>191</v>
      </c>
      <c r="C16" s="62">
        <v>0</v>
      </c>
      <c r="D16" s="105">
        <f t="shared" si="0"/>
        <v>0</v>
      </c>
      <c r="E16" s="120">
        <f t="shared" si="1"/>
        <v>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25" s="4" customFormat="1" ht="19.5" hidden="1" thickBot="1" x14ac:dyDescent="0.35">
      <c r="A17" s="58" t="s">
        <v>14</v>
      </c>
      <c r="B17" s="59" t="s">
        <v>192</v>
      </c>
      <c r="C17" s="62">
        <v>0</v>
      </c>
      <c r="D17" s="105">
        <f t="shared" si="0"/>
        <v>0</v>
      </c>
      <c r="E17" s="120">
        <f t="shared" si="1"/>
        <v>0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5" s="13" customFormat="1" ht="19.5" hidden="1" thickBot="1" x14ac:dyDescent="0.35">
      <c r="A18" s="58" t="s">
        <v>15</v>
      </c>
      <c r="B18" s="59" t="s">
        <v>193</v>
      </c>
      <c r="C18" s="62">
        <v>0</v>
      </c>
      <c r="D18" s="105">
        <f t="shared" si="0"/>
        <v>0</v>
      </c>
      <c r="E18" s="120">
        <f t="shared" si="1"/>
        <v>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</row>
    <row r="19" spans="1:25" s="98" customFormat="1" ht="16.5" hidden="1" thickBot="1" x14ac:dyDescent="0.3">
      <c r="A19" s="58" t="s">
        <v>16</v>
      </c>
      <c r="B19" s="59" t="s">
        <v>194</v>
      </c>
      <c r="C19" s="62">
        <v>0</v>
      </c>
      <c r="D19" s="105">
        <f t="shared" si="0"/>
        <v>0</v>
      </c>
      <c r="E19" s="120">
        <f t="shared" si="1"/>
        <v>0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5" s="13" customFormat="1" ht="19.5" hidden="1" thickBot="1" x14ac:dyDescent="0.35">
      <c r="A20" s="58" t="s">
        <v>17</v>
      </c>
      <c r="B20" s="59" t="s">
        <v>195</v>
      </c>
      <c r="C20" s="62">
        <v>0</v>
      </c>
      <c r="D20" s="105">
        <f t="shared" si="0"/>
        <v>0</v>
      </c>
      <c r="E20" s="120">
        <f t="shared" si="1"/>
        <v>0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5" s="13" customFormat="1" ht="19.5" hidden="1" thickBot="1" x14ac:dyDescent="0.35">
      <c r="A21" s="58" t="s">
        <v>18</v>
      </c>
      <c r="B21" s="59" t="s">
        <v>196</v>
      </c>
      <c r="C21" s="62">
        <v>0</v>
      </c>
      <c r="D21" s="105">
        <f t="shared" si="0"/>
        <v>0</v>
      </c>
      <c r="E21" s="120">
        <f t="shared" si="1"/>
        <v>0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5" s="13" customFormat="1" ht="19.5" hidden="1" thickBot="1" x14ac:dyDescent="0.35">
      <c r="A22" s="58" t="s">
        <v>19</v>
      </c>
      <c r="B22" s="59" t="s">
        <v>197</v>
      </c>
      <c r="C22" s="62">
        <v>0</v>
      </c>
      <c r="D22" s="105">
        <f t="shared" si="0"/>
        <v>0</v>
      </c>
      <c r="E22" s="120">
        <f t="shared" si="1"/>
        <v>0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5" s="13" customFormat="1" ht="19.5" hidden="1" thickBot="1" x14ac:dyDescent="0.35">
      <c r="A23" s="58" t="s">
        <v>20</v>
      </c>
      <c r="B23" s="59" t="s">
        <v>198</v>
      </c>
      <c r="C23" s="62">
        <v>0</v>
      </c>
      <c r="D23" s="105">
        <f t="shared" si="0"/>
        <v>0</v>
      </c>
      <c r="E23" s="120">
        <f t="shared" si="1"/>
        <v>0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  <row r="24" spans="1:25" s="12" customFormat="1" ht="16.5" hidden="1" thickBot="1" x14ac:dyDescent="0.3">
      <c r="A24" s="58" t="s">
        <v>21</v>
      </c>
      <c r="B24" s="59" t="s">
        <v>199</v>
      </c>
      <c r="C24" s="60">
        <v>0</v>
      </c>
      <c r="D24" s="105">
        <f t="shared" si="0"/>
        <v>0</v>
      </c>
      <c r="E24" s="120">
        <f t="shared" si="1"/>
        <v>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5" s="12" customFormat="1" ht="16.5" thickBot="1" x14ac:dyDescent="0.3">
      <c r="A25" s="253">
        <v>180</v>
      </c>
      <c r="B25" s="59" t="s">
        <v>200</v>
      </c>
      <c r="C25" s="154">
        <v>1152663</v>
      </c>
      <c r="D25" s="155">
        <f>SUM(F25:AF25)</f>
        <v>1002609</v>
      </c>
      <c r="E25" s="156">
        <f t="shared" si="1"/>
        <v>150054</v>
      </c>
      <c r="F25" s="123"/>
      <c r="G25" s="123"/>
      <c r="H25" s="123"/>
      <c r="I25" s="123"/>
      <c r="J25" s="97"/>
      <c r="K25" s="123">
        <v>156257</v>
      </c>
      <c r="L25" s="123">
        <v>3843</v>
      </c>
      <c r="M25" s="123">
        <v>175256</v>
      </c>
      <c r="N25" s="123">
        <v>96575</v>
      </c>
      <c r="O25" s="123">
        <v>94237</v>
      </c>
      <c r="P25" s="123">
        <v>112051</v>
      </c>
      <c r="Q25" s="123">
        <f>88051+179544</f>
        <v>267595</v>
      </c>
      <c r="R25" s="123"/>
      <c r="S25" s="123">
        <v>56730</v>
      </c>
      <c r="T25" s="123">
        <v>39377</v>
      </c>
      <c r="U25" s="123">
        <v>688</v>
      </c>
      <c r="V25" s="123"/>
      <c r="W25" s="123"/>
      <c r="X25" s="123"/>
      <c r="Y25" s="123"/>
    </row>
    <row r="26" spans="1:25" s="12" customFormat="1" ht="16.5" hidden="1" thickBot="1" x14ac:dyDescent="0.3">
      <c r="A26" s="253">
        <v>190</v>
      </c>
      <c r="B26" s="59" t="s">
        <v>201</v>
      </c>
      <c r="C26" s="155"/>
      <c r="D26" s="155">
        <f t="shared" ref="D26:D89" si="2">SUM(F26:AF26)</f>
        <v>0</v>
      </c>
      <c r="E26" s="156">
        <f t="shared" si="1"/>
        <v>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</row>
    <row r="27" spans="1:25" s="12" customFormat="1" ht="16.5" hidden="1" thickBot="1" x14ac:dyDescent="0.3">
      <c r="A27" s="253">
        <v>220</v>
      </c>
      <c r="B27" s="59" t="s">
        <v>202</v>
      </c>
      <c r="C27" s="155"/>
      <c r="D27" s="155">
        <f t="shared" si="2"/>
        <v>0</v>
      </c>
      <c r="E27" s="156">
        <f t="shared" si="1"/>
        <v>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 s="12" customFormat="1" ht="16.5" hidden="1" thickBot="1" x14ac:dyDescent="0.3">
      <c r="A28" s="253">
        <v>230</v>
      </c>
      <c r="B28" s="59" t="s">
        <v>203</v>
      </c>
      <c r="C28" s="155"/>
      <c r="D28" s="155">
        <f t="shared" si="2"/>
        <v>0</v>
      </c>
      <c r="E28" s="156">
        <f t="shared" si="1"/>
        <v>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 ht="16.5" hidden="1" thickBot="1" x14ac:dyDescent="0.3">
      <c r="A29" s="253">
        <v>240</v>
      </c>
      <c r="B29" s="59" t="s">
        <v>204</v>
      </c>
      <c r="C29" s="155"/>
      <c r="D29" s="155">
        <f t="shared" si="2"/>
        <v>0</v>
      </c>
      <c r="E29" s="156">
        <f t="shared" si="1"/>
        <v>0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</row>
    <row r="30" spans="1:25" ht="16.5" hidden="1" thickBot="1" x14ac:dyDescent="0.3">
      <c r="A30" s="253">
        <v>250</v>
      </c>
      <c r="B30" s="59" t="s">
        <v>205</v>
      </c>
      <c r="C30" s="155"/>
      <c r="D30" s="155">
        <f t="shared" si="2"/>
        <v>0</v>
      </c>
      <c r="E30" s="156">
        <f t="shared" si="1"/>
        <v>0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</row>
    <row r="31" spans="1:25" ht="16.5" hidden="1" thickBot="1" x14ac:dyDescent="0.3">
      <c r="A31" s="253">
        <v>260</v>
      </c>
      <c r="B31" s="59" t="s">
        <v>206</v>
      </c>
      <c r="C31" s="155"/>
      <c r="D31" s="155">
        <f t="shared" si="2"/>
        <v>0</v>
      </c>
      <c r="E31" s="156">
        <f t="shared" si="1"/>
        <v>0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</row>
    <row r="32" spans="1:25" ht="16.5" hidden="1" thickBot="1" x14ac:dyDescent="0.3">
      <c r="A32" s="253">
        <v>270</v>
      </c>
      <c r="B32" s="59" t="s">
        <v>207</v>
      </c>
      <c r="C32" s="155"/>
      <c r="D32" s="155">
        <f t="shared" si="2"/>
        <v>0</v>
      </c>
      <c r="E32" s="156">
        <f t="shared" si="1"/>
        <v>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</row>
    <row r="33" spans="1:25" ht="16.5" hidden="1" thickBot="1" x14ac:dyDescent="0.3">
      <c r="A33" s="253">
        <v>290</v>
      </c>
      <c r="B33" s="59" t="s">
        <v>208</v>
      </c>
      <c r="C33" s="155"/>
      <c r="D33" s="155">
        <f t="shared" si="2"/>
        <v>0</v>
      </c>
      <c r="E33" s="156">
        <f t="shared" si="1"/>
        <v>0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</row>
    <row r="34" spans="1:25" ht="16.5" hidden="1" thickBot="1" x14ac:dyDescent="0.3">
      <c r="A34" s="253">
        <v>310</v>
      </c>
      <c r="B34" s="59" t="s">
        <v>209</v>
      </c>
      <c r="C34" s="155"/>
      <c r="D34" s="155">
        <f t="shared" si="2"/>
        <v>0</v>
      </c>
      <c r="E34" s="156">
        <f t="shared" si="1"/>
        <v>0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</row>
    <row r="35" spans="1:25" ht="16.5" hidden="1" thickBot="1" x14ac:dyDescent="0.3">
      <c r="A35" s="253">
        <v>470</v>
      </c>
      <c r="B35" s="59" t="s">
        <v>210</v>
      </c>
      <c r="C35" s="155"/>
      <c r="D35" s="155">
        <f t="shared" si="2"/>
        <v>0</v>
      </c>
      <c r="E35" s="156">
        <f t="shared" si="1"/>
        <v>0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1:25" ht="16.5" hidden="1" thickBot="1" x14ac:dyDescent="0.3">
      <c r="A36" s="253">
        <v>480</v>
      </c>
      <c r="B36" s="59" t="s">
        <v>211</v>
      </c>
      <c r="C36" s="155"/>
      <c r="D36" s="155">
        <f t="shared" si="2"/>
        <v>0</v>
      </c>
      <c r="E36" s="156">
        <f t="shared" si="1"/>
        <v>0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</row>
    <row r="37" spans="1:25" ht="16.5" hidden="1" thickBot="1" x14ac:dyDescent="0.3">
      <c r="A37" s="253">
        <v>490</v>
      </c>
      <c r="B37" s="59" t="s">
        <v>212</v>
      </c>
      <c r="C37" s="155"/>
      <c r="D37" s="155">
        <f t="shared" si="2"/>
        <v>0</v>
      </c>
      <c r="E37" s="156">
        <f t="shared" si="1"/>
        <v>0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</row>
    <row r="38" spans="1:25" ht="16.5" hidden="1" thickBot="1" x14ac:dyDescent="0.3">
      <c r="A38" s="253">
        <v>500</v>
      </c>
      <c r="B38" s="59" t="s">
        <v>213</v>
      </c>
      <c r="C38" s="155"/>
      <c r="D38" s="155">
        <f t="shared" si="2"/>
        <v>0</v>
      </c>
      <c r="E38" s="156">
        <f t="shared" si="1"/>
        <v>0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</row>
    <row r="39" spans="1:25" ht="16.5" hidden="1" thickBot="1" x14ac:dyDescent="0.3">
      <c r="A39" s="253">
        <v>510</v>
      </c>
      <c r="B39" s="59" t="s">
        <v>395</v>
      </c>
      <c r="C39" s="155"/>
      <c r="D39" s="155">
        <f t="shared" si="2"/>
        <v>0</v>
      </c>
      <c r="E39" s="156">
        <f t="shared" si="1"/>
        <v>0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</row>
    <row r="40" spans="1:25" ht="16.5" hidden="1" thickBot="1" x14ac:dyDescent="0.3">
      <c r="A40" s="253">
        <v>520</v>
      </c>
      <c r="B40" s="59" t="s">
        <v>215</v>
      </c>
      <c r="C40" s="155"/>
      <c r="D40" s="155">
        <f t="shared" si="2"/>
        <v>0</v>
      </c>
      <c r="E40" s="156">
        <f t="shared" si="1"/>
        <v>0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pans="1:25" ht="16.5" hidden="1" thickBot="1" x14ac:dyDescent="0.3">
      <c r="A41" s="253">
        <v>540</v>
      </c>
      <c r="B41" s="59" t="s">
        <v>216</v>
      </c>
      <c r="C41" s="155"/>
      <c r="D41" s="155">
        <f t="shared" si="2"/>
        <v>0</v>
      </c>
      <c r="E41" s="156">
        <f t="shared" si="1"/>
        <v>0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</row>
    <row r="42" spans="1:25" ht="16.5" hidden="1" thickBot="1" x14ac:dyDescent="0.3">
      <c r="A42" s="253">
        <v>550</v>
      </c>
      <c r="B42" s="59" t="s">
        <v>217</v>
      </c>
      <c r="C42" s="155"/>
      <c r="D42" s="155">
        <f t="shared" si="2"/>
        <v>0</v>
      </c>
      <c r="E42" s="156">
        <f t="shared" si="1"/>
        <v>0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</row>
    <row r="43" spans="1:25" ht="16.5" hidden="1" thickBot="1" x14ac:dyDescent="0.3">
      <c r="A43" s="253">
        <v>560</v>
      </c>
      <c r="B43" s="59" t="s">
        <v>218</v>
      </c>
      <c r="C43" s="155"/>
      <c r="D43" s="155">
        <f t="shared" si="2"/>
        <v>0</v>
      </c>
      <c r="E43" s="156">
        <f t="shared" si="1"/>
        <v>0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</row>
    <row r="44" spans="1:25" ht="16.5" hidden="1" thickBot="1" x14ac:dyDescent="0.3">
      <c r="A44" s="253">
        <v>580</v>
      </c>
      <c r="B44" s="59" t="s">
        <v>219</v>
      </c>
      <c r="C44" s="155"/>
      <c r="D44" s="155">
        <f t="shared" si="2"/>
        <v>0</v>
      </c>
      <c r="E44" s="156">
        <f t="shared" si="1"/>
        <v>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</row>
    <row r="45" spans="1:25" ht="16.5" hidden="1" thickBot="1" x14ac:dyDescent="0.3">
      <c r="A45" s="253">
        <v>640</v>
      </c>
      <c r="B45" s="61" t="s">
        <v>220</v>
      </c>
      <c r="C45" s="155"/>
      <c r="D45" s="155">
        <f t="shared" si="2"/>
        <v>0</v>
      </c>
      <c r="E45" s="156">
        <f t="shared" si="1"/>
        <v>0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</row>
    <row r="46" spans="1:25" ht="16.5" hidden="1" thickBot="1" x14ac:dyDescent="0.3">
      <c r="A46" s="253">
        <v>740</v>
      </c>
      <c r="B46" s="59" t="s">
        <v>221</v>
      </c>
      <c r="C46" s="155"/>
      <c r="D46" s="155">
        <f t="shared" si="2"/>
        <v>0</v>
      </c>
      <c r="E46" s="156">
        <f t="shared" si="1"/>
        <v>0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 ht="16.5" hidden="1" thickBot="1" x14ac:dyDescent="0.3">
      <c r="A47" s="253">
        <v>770</v>
      </c>
      <c r="B47" s="59" t="s">
        <v>222</v>
      </c>
      <c r="C47" s="155"/>
      <c r="D47" s="155">
        <f t="shared" si="2"/>
        <v>0</v>
      </c>
      <c r="E47" s="156">
        <f t="shared" si="1"/>
        <v>0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</row>
    <row r="48" spans="1:25" ht="16.5" hidden="1" thickBot="1" x14ac:dyDescent="0.3">
      <c r="A48" s="253">
        <v>860</v>
      </c>
      <c r="B48" s="59" t="s">
        <v>223</v>
      </c>
      <c r="C48" s="155"/>
      <c r="D48" s="155">
        <f t="shared" si="2"/>
        <v>0</v>
      </c>
      <c r="E48" s="156">
        <f t="shared" si="1"/>
        <v>0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</row>
    <row r="49" spans="1:25" ht="16.5" hidden="1" thickBot="1" x14ac:dyDescent="0.3">
      <c r="A49" s="253">
        <v>870</v>
      </c>
      <c r="B49" s="59" t="s">
        <v>224</v>
      </c>
      <c r="C49" s="155"/>
      <c r="D49" s="155">
        <f t="shared" si="2"/>
        <v>0</v>
      </c>
      <c r="E49" s="156">
        <f t="shared" si="1"/>
        <v>0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</row>
    <row r="50" spans="1:25" ht="16.5" hidden="1" thickBot="1" x14ac:dyDescent="0.3">
      <c r="A50" s="253">
        <v>880</v>
      </c>
      <c r="B50" s="59" t="s">
        <v>225</v>
      </c>
      <c r="C50" s="155"/>
      <c r="D50" s="155">
        <f t="shared" si="2"/>
        <v>0</v>
      </c>
      <c r="E50" s="156">
        <f t="shared" si="1"/>
        <v>0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</row>
    <row r="51" spans="1:25" ht="16.5" hidden="1" thickBot="1" x14ac:dyDescent="0.3">
      <c r="A51" s="253">
        <v>890</v>
      </c>
      <c r="B51" s="59" t="s">
        <v>226</v>
      </c>
      <c r="C51" s="155"/>
      <c r="D51" s="155">
        <f t="shared" si="2"/>
        <v>0</v>
      </c>
      <c r="E51" s="156">
        <f t="shared" si="1"/>
        <v>0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</row>
    <row r="52" spans="1:25" ht="16.5" hidden="1" thickBot="1" x14ac:dyDescent="0.3">
      <c r="A52" s="253">
        <v>900</v>
      </c>
      <c r="B52" s="59" t="s">
        <v>227</v>
      </c>
      <c r="C52" s="155"/>
      <c r="D52" s="155">
        <f t="shared" si="2"/>
        <v>0</v>
      </c>
      <c r="E52" s="156">
        <f t="shared" si="1"/>
        <v>0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</row>
    <row r="53" spans="1:25" ht="16.5" thickBot="1" x14ac:dyDescent="0.3">
      <c r="A53" s="253">
        <v>910</v>
      </c>
      <c r="B53" s="59" t="s">
        <v>228</v>
      </c>
      <c r="C53" s="155">
        <v>43371</v>
      </c>
      <c r="D53" s="155">
        <f t="shared" si="2"/>
        <v>43371</v>
      </c>
      <c r="E53" s="156">
        <f t="shared" si="1"/>
        <v>0</v>
      </c>
      <c r="F53" s="124"/>
      <c r="G53" s="124"/>
      <c r="H53" s="124"/>
      <c r="I53" s="97"/>
      <c r="J53" s="97"/>
      <c r="K53" s="124"/>
      <c r="L53" s="124">
        <v>43371</v>
      </c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</row>
    <row r="54" spans="1:25" ht="16.5" hidden="1" thickBot="1" x14ac:dyDescent="0.3">
      <c r="A54" s="253">
        <v>920</v>
      </c>
      <c r="B54" s="59" t="s">
        <v>229</v>
      </c>
      <c r="C54" s="155"/>
      <c r="D54" s="155">
        <f t="shared" si="2"/>
        <v>0</v>
      </c>
      <c r="E54" s="156">
        <f t="shared" si="1"/>
        <v>0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</row>
    <row r="55" spans="1:25" ht="16.5" hidden="1" thickBot="1" x14ac:dyDescent="0.3">
      <c r="A55" s="253">
        <v>930</v>
      </c>
      <c r="B55" s="59" t="s">
        <v>230</v>
      </c>
      <c r="C55" s="155"/>
      <c r="D55" s="155">
        <f t="shared" si="2"/>
        <v>0</v>
      </c>
      <c r="E55" s="156">
        <f t="shared" si="1"/>
        <v>0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1:25" ht="16.5" hidden="1" thickBot="1" x14ac:dyDescent="0.3">
      <c r="A56" s="253">
        <v>940</v>
      </c>
      <c r="B56" s="59" t="s">
        <v>231</v>
      </c>
      <c r="C56" s="155"/>
      <c r="D56" s="155">
        <f t="shared" si="2"/>
        <v>0</v>
      </c>
      <c r="E56" s="156">
        <f t="shared" si="1"/>
        <v>0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</row>
    <row r="57" spans="1:25" ht="16.5" hidden="1" thickBot="1" x14ac:dyDescent="0.3">
      <c r="A57" s="253">
        <v>950</v>
      </c>
      <c r="B57" s="59" t="s">
        <v>232</v>
      </c>
      <c r="C57" s="155"/>
      <c r="D57" s="155">
        <f t="shared" si="2"/>
        <v>0</v>
      </c>
      <c r="E57" s="156">
        <f t="shared" si="1"/>
        <v>0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</row>
    <row r="58" spans="1:25" ht="16.5" hidden="1" thickBot="1" x14ac:dyDescent="0.3">
      <c r="A58" s="253">
        <v>960</v>
      </c>
      <c r="B58" s="59" t="s">
        <v>233</v>
      </c>
      <c r="C58" s="155"/>
      <c r="D58" s="155">
        <f t="shared" si="2"/>
        <v>0</v>
      </c>
      <c r="E58" s="156">
        <f t="shared" si="1"/>
        <v>0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</row>
    <row r="59" spans="1:25" ht="16.5" hidden="1" thickBot="1" x14ac:dyDescent="0.3">
      <c r="A59" s="253">
        <v>970</v>
      </c>
      <c r="B59" s="59" t="s">
        <v>234</v>
      </c>
      <c r="C59" s="155"/>
      <c r="D59" s="155">
        <f t="shared" si="2"/>
        <v>0</v>
      </c>
      <c r="E59" s="156">
        <f t="shared" si="1"/>
        <v>0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</row>
    <row r="60" spans="1:25" ht="16.5" hidden="1" thickBot="1" x14ac:dyDescent="0.3">
      <c r="A60" s="253">
        <v>980</v>
      </c>
      <c r="B60" s="59" t="s">
        <v>235</v>
      </c>
      <c r="C60" s="155"/>
      <c r="D60" s="155">
        <f t="shared" si="2"/>
        <v>0</v>
      </c>
      <c r="E60" s="156">
        <f t="shared" si="1"/>
        <v>0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</row>
    <row r="61" spans="1:25" ht="16.5" hidden="1" thickBot="1" x14ac:dyDescent="0.3">
      <c r="A61" s="253">
        <v>990</v>
      </c>
      <c r="B61" s="59" t="s">
        <v>236</v>
      </c>
      <c r="C61" s="155"/>
      <c r="D61" s="155">
        <f t="shared" si="2"/>
        <v>0</v>
      </c>
      <c r="E61" s="156">
        <f t="shared" si="1"/>
        <v>0</v>
      </c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</row>
    <row r="62" spans="1:25" ht="16.5" hidden="1" thickBot="1" x14ac:dyDescent="0.3">
      <c r="A62" s="253">
        <v>1000</v>
      </c>
      <c r="B62" s="59" t="s">
        <v>237</v>
      </c>
      <c r="C62" s="155"/>
      <c r="D62" s="155">
        <f t="shared" si="2"/>
        <v>0</v>
      </c>
      <c r="E62" s="156">
        <f t="shared" si="1"/>
        <v>0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</row>
    <row r="63" spans="1:25" ht="16.5" hidden="1" thickBot="1" x14ac:dyDescent="0.3">
      <c r="A63" s="253">
        <v>1010</v>
      </c>
      <c r="B63" s="59" t="s">
        <v>238</v>
      </c>
      <c r="C63" s="155"/>
      <c r="D63" s="155">
        <f t="shared" si="2"/>
        <v>0</v>
      </c>
      <c r="E63" s="156">
        <f t="shared" si="1"/>
        <v>0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</row>
    <row r="64" spans="1:25" ht="16.5" hidden="1" thickBot="1" x14ac:dyDescent="0.3">
      <c r="A64" s="253">
        <v>1020</v>
      </c>
      <c r="B64" s="59" t="s">
        <v>239</v>
      </c>
      <c r="C64" s="155"/>
      <c r="D64" s="155">
        <f t="shared" si="2"/>
        <v>0</v>
      </c>
      <c r="E64" s="156">
        <f t="shared" si="1"/>
        <v>0</v>
      </c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</row>
    <row r="65" spans="1:25" ht="16.5" hidden="1" thickBot="1" x14ac:dyDescent="0.3">
      <c r="A65" s="253">
        <v>1030</v>
      </c>
      <c r="B65" s="59" t="s">
        <v>240</v>
      </c>
      <c r="C65" s="155"/>
      <c r="D65" s="155">
        <f t="shared" si="2"/>
        <v>0</v>
      </c>
      <c r="E65" s="156">
        <f t="shared" si="1"/>
        <v>0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</row>
    <row r="66" spans="1:25" ht="16.5" hidden="1" thickBot="1" x14ac:dyDescent="0.3">
      <c r="A66" s="253">
        <v>1040</v>
      </c>
      <c r="B66" s="59" t="s">
        <v>241</v>
      </c>
      <c r="C66" s="155"/>
      <c r="D66" s="155">
        <f t="shared" si="2"/>
        <v>0</v>
      </c>
      <c r="E66" s="156">
        <f t="shared" si="1"/>
        <v>0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</row>
    <row r="67" spans="1:25" ht="16.5" hidden="1" thickBot="1" x14ac:dyDescent="0.3">
      <c r="A67" s="253">
        <v>1050</v>
      </c>
      <c r="B67" s="59" t="s">
        <v>242</v>
      </c>
      <c r="C67" s="155"/>
      <c r="D67" s="155">
        <f t="shared" si="2"/>
        <v>0</v>
      </c>
      <c r="E67" s="156">
        <f t="shared" si="1"/>
        <v>0</v>
      </c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</row>
    <row r="68" spans="1:25" ht="16.5" hidden="1" thickBot="1" x14ac:dyDescent="0.3">
      <c r="A68" s="253">
        <v>1060</v>
      </c>
      <c r="B68" s="59" t="s">
        <v>243</v>
      </c>
      <c r="C68" s="155"/>
      <c r="D68" s="155">
        <f t="shared" si="2"/>
        <v>0</v>
      </c>
      <c r="E68" s="156">
        <f t="shared" si="1"/>
        <v>0</v>
      </c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</row>
    <row r="69" spans="1:25" ht="16.5" hidden="1" thickBot="1" x14ac:dyDescent="0.3">
      <c r="A69" s="253">
        <v>1070</v>
      </c>
      <c r="B69" s="59" t="s">
        <v>244</v>
      </c>
      <c r="C69" s="155"/>
      <c r="D69" s="155">
        <f t="shared" si="2"/>
        <v>0</v>
      </c>
      <c r="E69" s="156">
        <f t="shared" si="1"/>
        <v>0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</row>
    <row r="70" spans="1:25" ht="16.5" hidden="1" thickBot="1" x14ac:dyDescent="0.3">
      <c r="A70" s="253">
        <v>1080</v>
      </c>
      <c r="B70" s="59" t="s">
        <v>245</v>
      </c>
      <c r="C70" s="155"/>
      <c r="D70" s="155">
        <f t="shared" si="2"/>
        <v>0</v>
      </c>
      <c r="E70" s="156">
        <f t="shared" si="1"/>
        <v>0</v>
      </c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</row>
    <row r="71" spans="1:25" ht="16.5" hidden="1" thickBot="1" x14ac:dyDescent="0.3">
      <c r="A71" s="253">
        <v>1110</v>
      </c>
      <c r="B71" s="59" t="s">
        <v>246</v>
      </c>
      <c r="C71" s="155"/>
      <c r="D71" s="155">
        <f t="shared" si="2"/>
        <v>0</v>
      </c>
      <c r="E71" s="156">
        <f t="shared" si="1"/>
        <v>0</v>
      </c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</row>
    <row r="72" spans="1:25" ht="16.5" hidden="1" thickBot="1" x14ac:dyDescent="0.3">
      <c r="A72" s="253">
        <v>1120</v>
      </c>
      <c r="B72" s="59" t="s">
        <v>247</v>
      </c>
      <c r="C72" s="155"/>
      <c r="D72" s="155">
        <f t="shared" si="2"/>
        <v>0</v>
      </c>
      <c r="E72" s="156">
        <f t="shared" si="1"/>
        <v>0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</row>
    <row r="73" spans="1:25" ht="16.5" hidden="1" thickBot="1" x14ac:dyDescent="0.3">
      <c r="A73" s="253">
        <v>1130</v>
      </c>
      <c r="B73" s="59" t="s">
        <v>248</v>
      </c>
      <c r="C73" s="155"/>
      <c r="D73" s="155">
        <f t="shared" si="2"/>
        <v>0</v>
      </c>
      <c r="E73" s="156">
        <f t="shared" si="1"/>
        <v>0</v>
      </c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</row>
    <row r="74" spans="1:25" ht="16.5" hidden="1" thickBot="1" x14ac:dyDescent="0.3">
      <c r="A74" s="253">
        <v>1140</v>
      </c>
      <c r="B74" s="59" t="s">
        <v>249</v>
      </c>
      <c r="C74" s="155"/>
      <c r="D74" s="155">
        <f t="shared" si="2"/>
        <v>0</v>
      </c>
      <c r="E74" s="156">
        <f t="shared" si="1"/>
        <v>0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</row>
    <row r="75" spans="1:25" ht="16.5" hidden="1" thickBot="1" x14ac:dyDescent="0.3">
      <c r="A75" s="253">
        <v>1150</v>
      </c>
      <c r="B75" s="59" t="s">
        <v>250</v>
      </c>
      <c r="C75" s="155"/>
      <c r="D75" s="155">
        <f t="shared" si="2"/>
        <v>0</v>
      </c>
      <c r="E75" s="156">
        <f t="shared" si="1"/>
        <v>0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</row>
    <row r="76" spans="1:25" ht="16.5" hidden="1" thickBot="1" x14ac:dyDescent="0.3">
      <c r="A76" s="253">
        <v>1160</v>
      </c>
      <c r="B76" s="59" t="s">
        <v>251</v>
      </c>
      <c r="C76" s="155"/>
      <c r="D76" s="155">
        <f t="shared" si="2"/>
        <v>0</v>
      </c>
      <c r="E76" s="156">
        <f t="shared" ref="E76:E139" si="3">C76-D76</f>
        <v>0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</row>
    <row r="77" spans="1:25" ht="16.5" hidden="1" thickBot="1" x14ac:dyDescent="0.3">
      <c r="A77" s="253">
        <v>1180</v>
      </c>
      <c r="B77" s="59" t="s">
        <v>252</v>
      </c>
      <c r="C77" s="155"/>
      <c r="D77" s="155">
        <f t="shared" si="2"/>
        <v>0</v>
      </c>
      <c r="E77" s="156">
        <f t="shared" si="3"/>
        <v>0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</row>
    <row r="78" spans="1:25" ht="16.5" hidden="1" thickBot="1" x14ac:dyDescent="0.3">
      <c r="A78" s="253">
        <v>1195</v>
      </c>
      <c r="B78" s="59" t="s">
        <v>253</v>
      </c>
      <c r="C78" s="155"/>
      <c r="D78" s="155">
        <f t="shared" si="2"/>
        <v>0</v>
      </c>
      <c r="E78" s="156">
        <f t="shared" si="3"/>
        <v>0</v>
      </c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</row>
    <row r="79" spans="1:25" ht="16.5" hidden="1" thickBot="1" x14ac:dyDescent="0.3">
      <c r="A79" s="253">
        <v>1220</v>
      </c>
      <c r="B79" s="59" t="s">
        <v>254</v>
      </c>
      <c r="C79" s="155"/>
      <c r="D79" s="155">
        <f t="shared" si="2"/>
        <v>0</v>
      </c>
      <c r="E79" s="156">
        <f t="shared" si="3"/>
        <v>0</v>
      </c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</row>
    <row r="80" spans="1:25" ht="16.5" hidden="1" thickBot="1" x14ac:dyDescent="0.3">
      <c r="A80" s="253">
        <v>1330</v>
      </c>
      <c r="B80" s="59" t="s">
        <v>255</v>
      </c>
      <c r="C80" s="155"/>
      <c r="D80" s="155">
        <f t="shared" si="2"/>
        <v>0</v>
      </c>
      <c r="E80" s="156">
        <f t="shared" si="3"/>
        <v>0</v>
      </c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</row>
    <row r="81" spans="1:25" ht="16.5" hidden="1" thickBot="1" x14ac:dyDescent="0.3">
      <c r="A81" s="253">
        <v>1340</v>
      </c>
      <c r="B81" s="59" t="s">
        <v>256</v>
      </c>
      <c r="C81" s="155"/>
      <c r="D81" s="155">
        <f t="shared" si="2"/>
        <v>0</v>
      </c>
      <c r="E81" s="156">
        <f t="shared" si="3"/>
        <v>0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5" ht="16.5" hidden="1" thickBot="1" x14ac:dyDescent="0.3">
      <c r="A82" s="253">
        <v>1350</v>
      </c>
      <c r="B82" s="59" t="s">
        <v>257</v>
      </c>
      <c r="C82" s="155"/>
      <c r="D82" s="155">
        <f t="shared" si="2"/>
        <v>0</v>
      </c>
      <c r="E82" s="156">
        <f t="shared" si="3"/>
        <v>0</v>
      </c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1:25" ht="16.5" hidden="1" thickBot="1" x14ac:dyDescent="0.3">
      <c r="A83" s="253">
        <v>1360</v>
      </c>
      <c r="B83" s="59" t="s">
        <v>258</v>
      </c>
      <c r="C83" s="155"/>
      <c r="D83" s="155">
        <f t="shared" si="2"/>
        <v>0</v>
      </c>
      <c r="E83" s="156">
        <f t="shared" si="3"/>
        <v>0</v>
      </c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</row>
    <row r="84" spans="1:25" ht="16.5" hidden="1" thickBot="1" x14ac:dyDescent="0.3">
      <c r="A84" s="253">
        <v>1380</v>
      </c>
      <c r="B84" s="59" t="s">
        <v>259</v>
      </c>
      <c r="C84" s="155"/>
      <c r="D84" s="155">
        <f t="shared" si="2"/>
        <v>0</v>
      </c>
      <c r="E84" s="156">
        <f t="shared" si="3"/>
        <v>0</v>
      </c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1:25" ht="16.5" hidden="1" thickBot="1" x14ac:dyDescent="0.3">
      <c r="A85" s="253">
        <v>1390</v>
      </c>
      <c r="B85" s="59" t="s">
        <v>260</v>
      </c>
      <c r="C85" s="155"/>
      <c r="D85" s="155">
        <f t="shared" si="2"/>
        <v>0</v>
      </c>
      <c r="E85" s="156">
        <f t="shared" si="3"/>
        <v>0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</row>
    <row r="86" spans="1:25" ht="16.5" hidden="1" thickBot="1" x14ac:dyDescent="0.3">
      <c r="A86" s="253">
        <v>1400</v>
      </c>
      <c r="B86" s="59" t="s">
        <v>261</v>
      </c>
      <c r="C86" s="155"/>
      <c r="D86" s="155">
        <f t="shared" si="2"/>
        <v>0</v>
      </c>
      <c r="E86" s="156">
        <f t="shared" si="3"/>
        <v>0</v>
      </c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</row>
    <row r="87" spans="1:25" ht="16.5" hidden="1" thickBot="1" x14ac:dyDescent="0.3">
      <c r="A87" s="253">
        <v>1410</v>
      </c>
      <c r="B87" s="61" t="s">
        <v>262</v>
      </c>
      <c r="C87" s="155"/>
      <c r="D87" s="155">
        <f t="shared" si="2"/>
        <v>0</v>
      </c>
      <c r="E87" s="156">
        <f t="shared" si="3"/>
        <v>0</v>
      </c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</row>
    <row r="88" spans="1:25" ht="16.5" hidden="1" thickBot="1" x14ac:dyDescent="0.3">
      <c r="A88" s="253">
        <v>1420</v>
      </c>
      <c r="B88" s="59" t="s">
        <v>263</v>
      </c>
      <c r="C88" s="155"/>
      <c r="D88" s="155">
        <f t="shared" si="2"/>
        <v>0</v>
      </c>
      <c r="E88" s="156">
        <f t="shared" si="3"/>
        <v>0</v>
      </c>
      <c r="F88" s="124"/>
      <c r="G88" s="124"/>
      <c r="H88" s="124"/>
      <c r="I88" s="124"/>
      <c r="J88" s="97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</row>
    <row r="89" spans="1:25" ht="16.5" hidden="1" thickBot="1" x14ac:dyDescent="0.3">
      <c r="A89" s="253">
        <v>1430</v>
      </c>
      <c r="B89" s="59" t="s">
        <v>264</v>
      </c>
      <c r="C89" s="155"/>
      <c r="D89" s="155">
        <f t="shared" si="2"/>
        <v>0</v>
      </c>
      <c r="E89" s="156">
        <f t="shared" si="3"/>
        <v>0</v>
      </c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</row>
    <row r="90" spans="1:25" ht="16.5" hidden="1" thickBot="1" x14ac:dyDescent="0.3">
      <c r="A90" s="253">
        <v>1440</v>
      </c>
      <c r="B90" s="59" t="s">
        <v>265</v>
      </c>
      <c r="C90" s="155"/>
      <c r="D90" s="155">
        <f t="shared" ref="D90:D153" si="4">SUM(F90:AF90)</f>
        <v>0</v>
      </c>
      <c r="E90" s="156">
        <f t="shared" si="3"/>
        <v>0</v>
      </c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</row>
    <row r="91" spans="1:25" ht="16.5" hidden="1" thickBot="1" x14ac:dyDescent="0.3">
      <c r="A91" s="253">
        <v>1450</v>
      </c>
      <c r="B91" s="59" t="s">
        <v>266</v>
      </c>
      <c r="C91" s="155"/>
      <c r="D91" s="155">
        <f t="shared" si="4"/>
        <v>0</v>
      </c>
      <c r="E91" s="156">
        <f t="shared" si="3"/>
        <v>0</v>
      </c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</row>
    <row r="92" spans="1:25" ht="16.5" hidden="1" thickBot="1" x14ac:dyDescent="0.3">
      <c r="A92" s="253">
        <v>1460</v>
      </c>
      <c r="B92" s="59" t="s">
        <v>267</v>
      </c>
      <c r="C92" s="155"/>
      <c r="D92" s="155">
        <f t="shared" si="4"/>
        <v>0</v>
      </c>
      <c r="E92" s="156">
        <f t="shared" si="3"/>
        <v>0</v>
      </c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</row>
    <row r="93" spans="1:25" ht="16.5" hidden="1" thickBot="1" x14ac:dyDescent="0.3">
      <c r="A93" s="253">
        <v>1480</v>
      </c>
      <c r="B93" s="59" t="s">
        <v>268</v>
      </c>
      <c r="C93" s="155"/>
      <c r="D93" s="155">
        <f t="shared" si="4"/>
        <v>0</v>
      </c>
      <c r="E93" s="156">
        <f t="shared" si="3"/>
        <v>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</row>
    <row r="94" spans="1:25" ht="16.5" hidden="1" thickBot="1" x14ac:dyDescent="0.3">
      <c r="A94" s="253">
        <v>1490</v>
      </c>
      <c r="B94" s="59" t="s">
        <v>269</v>
      </c>
      <c r="C94" s="155"/>
      <c r="D94" s="155">
        <f t="shared" si="4"/>
        <v>0</v>
      </c>
      <c r="E94" s="156">
        <f t="shared" si="3"/>
        <v>0</v>
      </c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</row>
    <row r="95" spans="1:25" ht="16.5" hidden="1" thickBot="1" x14ac:dyDescent="0.3">
      <c r="A95" s="253">
        <v>1500</v>
      </c>
      <c r="B95" s="59" t="s">
        <v>270</v>
      </c>
      <c r="C95" s="155"/>
      <c r="D95" s="155">
        <f t="shared" si="4"/>
        <v>0</v>
      </c>
      <c r="E95" s="156">
        <f t="shared" si="3"/>
        <v>0</v>
      </c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</row>
    <row r="96" spans="1:25" ht="16.5" hidden="1" thickBot="1" x14ac:dyDescent="0.3">
      <c r="A96" s="253">
        <v>1510</v>
      </c>
      <c r="B96" s="59" t="s">
        <v>271</v>
      </c>
      <c r="C96" s="155"/>
      <c r="D96" s="155">
        <f t="shared" si="4"/>
        <v>0</v>
      </c>
      <c r="E96" s="156">
        <f t="shared" si="3"/>
        <v>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</row>
    <row r="97" spans="1:25" ht="16.5" hidden="1" thickBot="1" x14ac:dyDescent="0.3">
      <c r="A97" s="253">
        <v>1520</v>
      </c>
      <c r="B97" s="59" t="s">
        <v>272</v>
      </c>
      <c r="C97" s="155"/>
      <c r="D97" s="155">
        <f t="shared" si="4"/>
        <v>0</v>
      </c>
      <c r="E97" s="156">
        <f t="shared" si="3"/>
        <v>0</v>
      </c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</row>
    <row r="98" spans="1:25" ht="16.5" hidden="1" thickBot="1" x14ac:dyDescent="0.3">
      <c r="A98" s="253">
        <v>1530</v>
      </c>
      <c r="B98" s="59" t="s">
        <v>273</v>
      </c>
      <c r="C98" s="155"/>
      <c r="D98" s="155">
        <f t="shared" si="4"/>
        <v>0</v>
      </c>
      <c r="E98" s="156">
        <f t="shared" si="3"/>
        <v>0</v>
      </c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</row>
    <row r="99" spans="1:25" ht="16.5" hidden="1" thickBot="1" x14ac:dyDescent="0.3">
      <c r="A99" s="253">
        <v>1540</v>
      </c>
      <c r="B99" s="59" t="s">
        <v>274</v>
      </c>
      <c r="C99" s="155"/>
      <c r="D99" s="155">
        <f t="shared" si="4"/>
        <v>0</v>
      </c>
      <c r="E99" s="156">
        <f t="shared" si="3"/>
        <v>0</v>
      </c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</row>
    <row r="100" spans="1:25" ht="16.5" hidden="1" thickBot="1" x14ac:dyDescent="0.3">
      <c r="A100" s="253">
        <v>1550</v>
      </c>
      <c r="B100" s="59" t="s">
        <v>275</v>
      </c>
      <c r="C100" s="155"/>
      <c r="D100" s="155">
        <f t="shared" si="4"/>
        <v>0</v>
      </c>
      <c r="E100" s="156">
        <f t="shared" si="3"/>
        <v>0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</row>
    <row r="101" spans="1:25" ht="16.5" hidden="1" thickBot="1" x14ac:dyDescent="0.3">
      <c r="A101" s="253">
        <v>1560</v>
      </c>
      <c r="B101" s="59" t="s">
        <v>276</v>
      </c>
      <c r="C101" s="155"/>
      <c r="D101" s="155">
        <f t="shared" si="4"/>
        <v>0</v>
      </c>
      <c r="E101" s="156">
        <f t="shared" si="3"/>
        <v>0</v>
      </c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</row>
    <row r="102" spans="1:25" ht="16.5" hidden="1" thickBot="1" x14ac:dyDescent="0.3">
      <c r="A102" s="253">
        <v>1570</v>
      </c>
      <c r="B102" s="59" t="s">
        <v>277</v>
      </c>
      <c r="C102" s="155"/>
      <c r="D102" s="155">
        <f t="shared" si="4"/>
        <v>0</v>
      </c>
      <c r="E102" s="156">
        <f t="shared" si="3"/>
        <v>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</row>
    <row r="103" spans="1:25" ht="16.5" hidden="1" thickBot="1" x14ac:dyDescent="0.3">
      <c r="A103" s="253">
        <v>1580</v>
      </c>
      <c r="B103" s="59" t="s">
        <v>278</v>
      </c>
      <c r="C103" s="155"/>
      <c r="D103" s="155">
        <f t="shared" si="4"/>
        <v>0</v>
      </c>
      <c r="E103" s="156">
        <f t="shared" si="3"/>
        <v>0</v>
      </c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</row>
    <row r="104" spans="1:25" ht="16.5" hidden="1" thickBot="1" x14ac:dyDescent="0.3">
      <c r="A104" s="253">
        <v>1590</v>
      </c>
      <c r="B104" s="59" t="s">
        <v>279</v>
      </c>
      <c r="C104" s="155"/>
      <c r="D104" s="155">
        <f t="shared" si="4"/>
        <v>0</v>
      </c>
      <c r="E104" s="156">
        <f t="shared" si="3"/>
        <v>0</v>
      </c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</row>
    <row r="105" spans="1:25" ht="16.5" hidden="1" thickBot="1" x14ac:dyDescent="0.3">
      <c r="A105" s="253">
        <v>1600</v>
      </c>
      <c r="B105" s="59" t="s">
        <v>280</v>
      </c>
      <c r="C105" s="155"/>
      <c r="D105" s="155">
        <f t="shared" si="4"/>
        <v>0</v>
      </c>
      <c r="E105" s="156">
        <f t="shared" si="3"/>
        <v>0</v>
      </c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</row>
    <row r="106" spans="1:25" ht="16.5" hidden="1" thickBot="1" x14ac:dyDescent="0.3">
      <c r="A106" s="253">
        <v>1620</v>
      </c>
      <c r="B106" s="59" t="s">
        <v>281</v>
      </c>
      <c r="C106" s="155"/>
      <c r="D106" s="155">
        <f t="shared" si="4"/>
        <v>0</v>
      </c>
      <c r="E106" s="156">
        <f t="shared" si="3"/>
        <v>0</v>
      </c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</row>
    <row r="107" spans="1:25" ht="16.5" hidden="1" thickBot="1" x14ac:dyDescent="0.3">
      <c r="A107" s="253">
        <v>1750</v>
      </c>
      <c r="B107" s="59" t="s">
        <v>409</v>
      </c>
      <c r="C107" s="155"/>
      <c r="D107" s="155">
        <f t="shared" si="4"/>
        <v>0</v>
      </c>
      <c r="E107" s="156">
        <f t="shared" si="3"/>
        <v>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</row>
    <row r="108" spans="1:25" ht="16.5" hidden="1" thickBot="1" x14ac:dyDescent="0.3">
      <c r="A108" s="253">
        <v>1760</v>
      </c>
      <c r="B108" s="59" t="s">
        <v>283</v>
      </c>
      <c r="C108" s="155"/>
      <c r="D108" s="155">
        <f t="shared" si="4"/>
        <v>0</v>
      </c>
      <c r="E108" s="156">
        <f t="shared" si="3"/>
        <v>0</v>
      </c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</row>
    <row r="109" spans="1:25" ht="16.5" hidden="1" thickBot="1" x14ac:dyDescent="0.3">
      <c r="A109" s="253">
        <v>1780</v>
      </c>
      <c r="B109" s="59" t="s">
        <v>284</v>
      </c>
      <c r="C109" s="155"/>
      <c r="D109" s="155">
        <f t="shared" si="4"/>
        <v>0</v>
      </c>
      <c r="E109" s="156">
        <f t="shared" si="3"/>
        <v>0</v>
      </c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</row>
    <row r="110" spans="1:25" ht="16.5" hidden="1" thickBot="1" x14ac:dyDescent="0.3">
      <c r="A110" s="253">
        <v>1790</v>
      </c>
      <c r="B110" s="59" t="s">
        <v>285</v>
      </c>
      <c r="C110" s="155"/>
      <c r="D110" s="155">
        <f t="shared" si="4"/>
        <v>0</v>
      </c>
      <c r="E110" s="156">
        <f t="shared" si="3"/>
        <v>0</v>
      </c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</row>
    <row r="111" spans="1:25" ht="16.5" hidden="1" thickBot="1" x14ac:dyDescent="0.3">
      <c r="A111" s="253">
        <v>1810</v>
      </c>
      <c r="B111" s="59" t="s">
        <v>286</v>
      </c>
      <c r="C111" s="155"/>
      <c r="D111" s="155">
        <f t="shared" si="4"/>
        <v>0</v>
      </c>
      <c r="E111" s="156">
        <f t="shared" si="3"/>
        <v>0</v>
      </c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</row>
    <row r="112" spans="1:25" ht="16.5" hidden="1" thickBot="1" x14ac:dyDescent="0.3">
      <c r="A112" s="253">
        <v>1828</v>
      </c>
      <c r="B112" s="59" t="s">
        <v>287</v>
      </c>
      <c r="C112" s="155"/>
      <c r="D112" s="155">
        <f t="shared" si="4"/>
        <v>0</v>
      </c>
      <c r="E112" s="156">
        <f t="shared" si="3"/>
        <v>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</row>
    <row r="113" spans="1:25" ht="16.5" hidden="1" thickBot="1" x14ac:dyDescent="0.3">
      <c r="A113" s="253">
        <v>1850</v>
      </c>
      <c r="B113" s="59" t="s">
        <v>288</v>
      </c>
      <c r="C113" s="155"/>
      <c r="D113" s="155">
        <f t="shared" si="4"/>
        <v>0</v>
      </c>
      <c r="E113" s="156">
        <f t="shared" si="3"/>
        <v>0</v>
      </c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</row>
    <row r="114" spans="1:25" ht="16.5" hidden="1" thickBot="1" x14ac:dyDescent="0.3">
      <c r="A114" s="253">
        <v>1860</v>
      </c>
      <c r="B114" s="59" t="s">
        <v>289</v>
      </c>
      <c r="C114" s="155"/>
      <c r="D114" s="155">
        <f t="shared" si="4"/>
        <v>0</v>
      </c>
      <c r="E114" s="156">
        <f t="shared" si="3"/>
        <v>0</v>
      </c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</row>
    <row r="115" spans="1:25" ht="16.5" hidden="1" thickBot="1" x14ac:dyDescent="0.3">
      <c r="A115" s="253">
        <v>1870</v>
      </c>
      <c r="B115" s="59" t="s">
        <v>290</v>
      </c>
      <c r="C115" s="155"/>
      <c r="D115" s="155">
        <f t="shared" si="4"/>
        <v>0</v>
      </c>
      <c r="E115" s="156">
        <f t="shared" si="3"/>
        <v>0</v>
      </c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</row>
    <row r="116" spans="1:25" ht="16.5" hidden="1" thickBot="1" x14ac:dyDescent="0.3">
      <c r="A116" s="253">
        <v>1980</v>
      </c>
      <c r="B116" s="59" t="s">
        <v>291</v>
      </c>
      <c r="C116" s="155"/>
      <c r="D116" s="155">
        <f t="shared" si="4"/>
        <v>0</v>
      </c>
      <c r="E116" s="156">
        <f t="shared" si="3"/>
        <v>0</v>
      </c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</row>
    <row r="117" spans="1:25" ht="16.5" hidden="1" thickBot="1" x14ac:dyDescent="0.3">
      <c r="A117" s="253">
        <v>1990</v>
      </c>
      <c r="B117" s="59" t="s">
        <v>292</v>
      </c>
      <c r="C117" s="155"/>
      <c r="D117" s="155">
        <f t="shared" si="4"/>
        <v>0</v>
      </c>
      <c r="E117" s="156">
        <f t="shared" si="3"/>
        <v>0</v>
      </c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</row>
    <row r="118" spans="1:25" ht="16.5" thickBot="1" x14ac:dyDescent="0.3">
      <c r="A118" s="253">
        <v>2000</v>
      </c>
      <c r="B118" s="59" t="s">
        <v>293</v>
      </c>
      <c r="C118" s="155">
        <v>608927</v>
      </c>
      <c r="D118" s="155">
        <f t="shared" si="4"/>
        <v>509548</v>
      </c>
      <c r="E118" s="156">
        <f t="shared" si="3"/>
        <v>99379</v>
      </c>
      <c r="F118" s="124"/>
      <c r="G118" s="124"/>
      <c r="H118" s="124"/>
      <c r="I118" s="124">
        <v>35638</v>
      </c>
      <c r="J118" s="124">
        <v>2755</v>
      </c>
      <c r="K118" s="124"/>
      <c r="L118" s="124">
        <v>40637</v>
      </c>
      <c r="M118" s="124">
        <v>108897</v>
      </c>
      <c r="N118" s="124">
        <v>54000</v>
      </c>
      <c r="O118" s="124">
        <v>40000</v>
      </c>
      <c r="P118" s="124">
        <v>82000</v>
      </c>
      <c r="Q118" s="124">
        <v>51000</v>
      </c>
      <c r="R118" s="124"/>
      <c r="S118" s="124"/>
      <c r="T118" s="124">
        <v>94621</v>
      </c>
      <c r="U118" s="124"/>
      <c r="V118" s="124"/>
      <c r="W118" s="124"/>
      <c r="X118" s="124"/>
      <c r="Y118" s="124"/>
    </row>
    <row r="119" spans="1:25" ht="16.5" hidden="1" thickBot="1" x14ac:dyDescent="0.3">
      <c r="A119" s="253">
        <v>2010</v>
      </c>
      <c r="B119" s="59" t="s">
        <v>294</v>
      </c>
      <c r="C119" s="155"/>
      <c r="D119" s="155">
        <f t="shared" si="4"/>
        <v>0</v>
      </c>
      <c r="E119" s="156">
        <f t="shared" si="3"/>
        <v>0</v>
      </c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</row>
    <row r="120" spans="1:25" ht="16.5" hidden="1" thickBot="1" x14ac:dyDescent="0.3">
      <c r="A120" s="253">
        <v>2020</v>
      </c>
      <c r="B120" s="59" t="s">
        <v>295</v>
      </c>
      <c r="C120" s="155"/>
      <c r="D120" s="155">
        <f t="shared" si="4"/>
        <v>0</v>
      </c>
      <c r="E120" s="156">
        <f t="shared" si="3"/>
        <v>0</v>
      </c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</row>
    <row r="121" spans="1:25" ht="16.5" hidden="1" thickBot="1" x14ac:dyDescent="0.3">
      <c r="A121" s="253">
        <v>2035</v>
      </c>
      <c r="B121" s="59" t="s">
        <v>296</v>
      </c>
      <c r="C121" s="155"/>
      <c r="D121" s="155">
        <f t="shared" si="4"/>
        <v>0</v>
      </c>
      <c r="E121" s="156">
        <f t="shared" si="3"/>
        <v>0</v>
      </c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</row>
    <row r="122" spans="1:25" ht="16.5" hidden="1" thickBot="1" x14ac:dyDescent="0.3">
      <c r="A122" s="253">
        <v>2055</v>
      </c>
      <c r="B122" s="59" t="s">
        <v>297</v>
      </c>
      <c r="C122" s="155"/>
      <c r="D122" s="155">
        <f t="shared" si="4"/>
        <v>0</v>
      </c>
      <c r="E122" s="156">
        <f t="shared" si="3"/>
        <v>0</v>
      </c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</row>
    <row r="123" spans="1:25" ht="16.5" hidden="1" thickBot="1" x14ac:dyDescent="0.3">
      <c r="A123" s="253">
        <v>2070</v>
      </c>
      <c r="B123" s="59" t="s">
        <v>298</v>
      </c>
      <c r="C123" s="155"/>
      <c r="D123" s="155">
        <f t="shared" si="4"/>
        <v>0</v>
      </c>
      <c r="E123" s="156">
        <f t="shared" si="3"/>
        <v>0</v>
      </c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</row>
    <row r="124" spans="1:25" ht="16.5" hidden="1" thickBot="1" x14ac:dyDescent="0.3">
      <c r="A124" s="253">
        <v>2180</v>
      </c>
      <c r="B124" s="59" t="s">
        <v>299</v>
      </c>
      <c r="C124" s="155"/>
      <c r="D124" s="155">
        <f t="shared" si="4"/>
        <v>0</v>
      </c>
      <c r="E124" s="156">
        <f t="shared" si="3"/>
        <v>0</v>
      </c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</row>
    <row r="125" spans="1:25" ht="16.5" hidden="1" thickBot="1" x14ac:dyDescent="0.3">
      <c r="A125" s="253">
        <v>2190</v>
      </c>
      <c r="B125" s="59" t="s">
        <v>300</v>
      </c>
      <c r="C125" s="155"/>
      <c r="D125" s="155">
        <f t="shared" si="4"/>
        <v>0</v>
      </c>
      <c r="E125" s="156">
        <f t="shared" si="3"/>
        <v>0</v>
      </c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</row>
    <row r="126" spans="1:25" ht="16.5" hidden="1" thickBot="1" x14ac:dyDescent="0.3">
      <c r="A126" s="253">
        <v>2395</v>
      </c>
      <c r="B126" s="59" t="s">
        <v>301</v>
      </c>
      <c r="C126" s="155"/>
      <c r="D126" s="155">
        <f t="shared" si="4"/>
        <v>0</v>
      </c>
      <c r="E126" s="156">
        <f t="shared" si="3"/>
        <v>0</v>
      </c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</row>
    <row r="127" spans="1:25" ht="16.5" hidden="1" thickBot="1" x14ac:dyDescent="0.3">
      <c r="A127" s="253">
        <v>2405</v>
      </c>
      <c r="B127" s="59" t="s">
        <v>302</v>
      </c>
      <c r="C127" s="155"/>
      <c r="D127" s="155">
        <f t="shared" si="4"/>
        <v>0</v>
      </c>
      <c r="E127" s="156">
        <f t="shared" si="3"/>
        <v>0</v>
      </c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</row>
    <row r="128" spans="1:25" ht="16.5" hidden="1" thickBot="1" x14ac:dyDescent="0.3">
      <c r="A128" s="253">
        <v>2505</v>
      </c>
      <c r="B128" s="59" t="s">
        <v>303</v>
      </c>
      <c r="C128" s="155"/>
      <c r="D128" s="155">
        <f t="shared" si="4"/>
        <v>0</v>
      </c>
      <c r="E128" s="156">
        <f t="shared" si="3"/>
        <v>0</v>
      </c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</row>
    <row r="129" spans="1:25" ht="16.5" hidden="1" thickBot="1" x14ac:dyDescent="0.3">
      <c r="A129" s="253">
        <v>2515</v>
      </c>
      <c r="B129" s="59" t="s">
        <v>304</v>
      </c>
      <c r="C129" s="155"/>
      <c r="D129" s="155">
        <f t="shared" si="4"/>
        <v>0</v>
      </c>
      <c r="E129" s="156">
        <f t="shared" si="3"/>
        <v>0</v>
      </c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</row>
    <row r="130" spans="1:25" ht="16.5" hidden="1" thickBot="1" x14ac:dyDescent="0.3">
      <c r="A130" s="253">
        <v>2520</v>
      </c>
      <c r="B130" s="59" t="s">
        <v>305</v>
      </c>
      <c r="C130" s="155"/>
      <c r="D130" s="155">
        <f t="shared" si="4"/>
        <v>0</v>
      </c>
      <c r="E130" s="156">
        <f t="shared" si="3"/>
        <v>0</v>
      </c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</row>
    <row r="131" spans="1:25" ht="16.5" hidden="1" thickBot="1" x14ac:dyDescent="0.3">
      <c r="A131" s="253">
        <v>2530</v>
      </c>
      <c r="B131" s="59" t="s">
        <v>306</v>
      </c>
      <c r="C131" s="155"/>
      <c r="D131" s="155">
        <f t="shared" si="4"/>
        <v>0</v>
      </c>
      <c r="E131" s="156">
        <f t="shared" si="3"/>
        <v>0</v>
      </c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</row>
    <row r="132" spans="1:25" ht="16.5" hidden="1" thickBot="1" x14ac:dyDescent="0.3">
      <c r="A132" s="253">
        <v>2535</v>
      </c>
      <c r="B132" s="59" t="s">
        <v>307</v>
      </c>
      <c r="C132" s="155"/>
      <c r="D132" s="155">
        <f t="shared" si="4"/>
        <v>0</v>
      </c>
      <c r="E132" s="156">
        <f t="shared" si="3"/>
        <v>0</v>
      </c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</row>
    <row r="133" spans="1:25" ht="16.5" hidden="1" thickBot="1" x14ac:dyDescent="0.3">
      <c r="A133" s="253">
        <v>2540</v>
      </c>
      <c r="B133" s="59" t="s">
        <v>308</v>
      </c>
      <c r="C133" s="155"/>
      <c r="D133" s="155">
        <f t="shared" si="4"/>
        <v>0</v>
      </c>
      <c r="E133" s="156">
        <f t="shared" si="3"/>
        <v>0</v>
      </c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</row>
    <row r="134" spans="1:25" ht="16.5" hidden="1" thickBot="1" x14ac:dyDescent="0.3">
      <c r="A134" s="253">
        <v>2560</v>
      </c>
      <c r="B134" s="59" t="s">
        <v>309</v>
      </c>
      <c r="C134" s="155"/>
      <c r="D134" s="155">
        <f t="shared" si="4"/>
        <v>0</v>
      </c>
      <c r="E134" s="156">
        <f t="shared" si="3"/>
        <v>0</v>
      </c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</row>
    <row r="135" spans="1:25" ht="16.5" hidden="1" thickBot="1" x14ac:dyDescent="0.3">
      <c r="A135" s="253">
        <v>2570</v>
      </c>
      <c r="B135" s="59" t="s">
        <v>310</v>
      </c>
      <c r="C135" s="155"/>
      <c r="D135" s="155">
        <f t="shared" si="4"/>
        <v>0</v>
      </c>
      <c r="E135" s="156">
        <f t="shared" si="3"/>
        <v>0</v>
      </c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</row>
    <row r="136" spans="1:25" ht="16.5" hidden="1" thickBot="1" x14ac:dyDescent="0.3">
      <c r="A136" s="253">
        <v>2580</v>
      </c>
      <c r="B136" s="59" t="s">
        <v>311</v>
      </c>
      <c r="C136" s="155"/>
      <c r="D136" s="155">
        <f t="shared" si="4"/>
        <v>0</v>
      </c>
      <c r="E136" s="156">
        <f t="shared" si="3"/>
        <v>0</v>
      </c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</row>
    <row r="137" spans="1:25" ht="16.5" hidden="1" thickBot="1" x14ac:dyDescent="0.3">
      <c r="A137" s="253">
        <v>2590</v>
      </c>
      <c r="B137" s="59" t="s">
        <v>312</v>
      </c>
      <c r="C137" s="155"/>
      <c r="D137" s="155">
        <f t="shared" si="4"/>
        <v>0</v>
      </c>
      <c r="E137" s="156">
        <f t="shared" si="3"/>
        <v>0</v>
      </c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</row>
    <row r="138" spans="1:25" ht="16.5" hidden="1" thickBot="1" x14ac:dyDescent="0.3">
      <c r="A138" s="253">
        <v>2600</v>
      </c>
      <c r="B138" s="59" t="s">
        <v>313</v>
      </c>
      <c r="C138" s="155"/>
      <c r="D138" s="155">
        <f t="shared" si="4"/>
        <v>0</v>
      </c>
      <c r="E138" s="156">
        <f t="shared" si="3"/>
        <v>0</v>
      </c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</row>
    <row r="139" spans="1:25" ht="16.5" hidden="1" thickBot="1" x14ac:dyDescent="0.3">
      <c r="A139" s="253">
        <v>2610</v>
      </c>
      <c r="B139" s="59" t="s">
        <v>314</v>
      </c>
      <c r="C139" s="155"/>
      <c r="D139" s="155">
        <f t="shared" si="4"/>
        <v>0</v>
      </c>
      <c r="E139" s="156">
        <f t="shared" si="3"/>
        <v>0</v>
      </c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</row>
    <row r="140" spans="1:25" ht="16.5" hidden="1" thickBot="1" x14ac:dyDescent="0.3">
      <c r="A140" s="253">
        <v>2620</v>
      </c>
      <c r="B140" s="59" t="s">
        <v>315</v>
      </c>
      <c r="C140" s="155"/>
      <c r="D140" s="155">
        <f t="shared" si="4"/>
        <v>0</v>
      </c>
      <c r="E140" s="156">
        <f t="shared" ref="E140:E197" si="5">C140-D140</f>
        <v>0</v>
      </c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</row>
    <row r="141" spans="1:25" ht="16.5" hidden="1" thickBot="1" x14ac:dyDescent="0.3">
      <c r="A141" s="253">
        <v>2630</v>
      </c>
      <c r="B141" s="59" t="s">
        <v>316</v>
      </c>
      <c r="C141" s="155"/>
      <c r="D141" s="155">
        <f t="shared" si="4"/>
        <v>0</v>
      </c>
      <c r="E141" s="156">
        <f t="shared" si="5"/>
        <v>0</v>
      </c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</row>
    <row r="142" spans="1:25" ht="16.5" hidden="1" thickBot="1" x14ac:dyDescent="0.3">
      <c r="A142" s="253">
        <v>2640</v>
      </c>
      <c r="B142" s="59" t="s">
        <v>398</v>
      </c>
      <c r="C142" s="155"/>
      <c r="D142" s="155">
        <f t="shared" si="4"/>
        <v>0</v>
      </c>
      <c r="E142" s="156">
        <f t="shared" si="5"/>
        <v>0</v>
      </c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</row>
    <row r="143" spans="1:25" ht="16.5" hidden="1" thickBot="1" x14ac:dyDescent="0.3">
      <c r="A143" s="253">
        <v>2650</v>
      </c>
      <c r="B143" s="59" t="s">
        <v>318</v>
      </c>
      <c r="C143" s="155"/>
      <c r="D143" s="155">
        <f t="shared" si="4"/>
        <v>0</v>
      </c>
      <c r="E143" s="156">
        <f t="shared" si="5"/>
        <v>0</v>
      </c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</row>
    <row r="144" spans="1:25" ht="16.5" hidden="1" thickBot="1" x14ac:dyDescent="0.3">
      <c r="A144" s="253">
        <v>2660</v>
      </c>
      <c r="B144" s="59" t="s">
        <v>319</v>
      </c>
      <c r="C144" s="155"/>
      <c r="D144" s="155">
        <f t="shared" si="4"/>
        <v>0</v>
      </c>
      <c r="E144" s="156">
        <f t="shared" si="5"/>
        <v>0</v>
      </c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</row>
    <row r="145" spans="1:25" ht="16.5" hidden="1" thickBot="1" x14ac:dyDescent="0.3">
      <c r="A145" s="253">
        <v>2670</v>
      </c>
      <c r="B145" s="59" t="s">
        <v>320</v>
      </c>
      <c r="C145" s="155"/>
      <c r="D145" s="155">
        <f t="shared" si="4"/>
        <v>0</v>
      </c>
      <c r="E145" s="156">
        <f t="shared" si="5"/>
        <v>0</v>
      </c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</row>
    <row r="146" spans="1:25" ht="16.5" hidden="1" thickBot="1" x14ac:dyDescent="0.3">
      <c r="A146" s="253">
        <v>2680</v>
      </c>
      <c r="B146" s="59" t="s">
        <v>321</v>
      </c>
      <c r="C146" s="155"/>
      <c r="D146" s="155">
        <f t="shared" si="4"/>
        <v>0</v>
      </c>
      <c r="E146" s="156">
        <f t="shared" si="5"/>
        <v>0</v>
      </c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</row>
    <row r="147" spans="1:25" ht="16.5" hidden="1" thickBot="1" x14ac:dyDescent="0.3">
      <c r="A147" s="253">
        <v>2690</v>
      </c>
      <c r="B147" s="59" t="s">
        <v>322</v>
      </c>
      <c r="C147" s="155"/>
      <c r="D147" s="155">
        <f t="shared" si="4"/>
        <v>0</v>
      </c>
      <c r="E147" s="156">
        <f t="shared" si="5"/>
        <v>0</v>
      </c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</row>
    <row r="148" spans="1:25" ht="16.5" hidden="1" thickBot="1" x14ac:dyDescent="0.3">
      <c r="A148" s="253">
        <v>2700</v>
      </c>
      <c r="B148" s="59" t="s">
        <v>323</v>
      </c>
      <c r="C148" s="155"/>
      <c r="D148" s="155">
        <f t="shared" si="4"/>
        <v>0</v>
      </c>
      <c r="E148" s="156">
        <f t="shared" si="5"/>
        <v>0</v>
      </c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</row>
    <row r="149" spans="1:25" ht="16.5" hidden="1" thickBot="1" x14ac:dyDescent="0.3">
      <c r="A149" s="253">
        <v>2710</v>
      </c>
      <c r="B149" s="59" t="s">
        <v>324</v>
      </c>
      <c r="C149" s="155"/>
      <c r="D149" s="155">
        <f t="shared" si="4"/>
        <v>0</v>
      </c>
      <c r="E149" s="156">
        <f t="shared" si="5"/>
        <v>0</v>
      </c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</row>
    <row r="150" spans="1:25" ht="16.5" hidden="1" thickBot="1" x14ac:dyDescent="0.3">
      <c r="A150" s="253">
        <v>2720</v>
      </c>
      <c r="B150" s="59" t="s">
        <v>325</v>
      </c>
      <c r="C150" s="155"/>
      <c r="D150" s="155">
        <f t="shared" si="4"/>
        <v>0</v>
      </c>
      <c r="E150" s="156">
        <f t="shared" si="5"/>
        <v>0</v>
      </c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</row>
    <row r="151" spans="1:25" ht="16.5" hidden="1" thickBot="1" x14ac:dyDescent="0.3">
      <c r="A151" s="253">
        <v>2730</v>
      </c>
      <c r="B151" s="59" t="s">
        <v>326</v>
      </c>
      <c r="C151" s="155"/>
      <c r="D151" s="155">
        <f t="shared" si="4"/>
        <v>0</v>
      </c>
      <c r="E151" s="156">
        <f t="shared" si="5"/>
        <v>0</v>
      </c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</row>
    <row r="152" spans="1:25" ht="16.5" hidden="1" thickBot="1" x14ac:dyDescent="0.3">
      <c r="A152" s="253">
        <v>2740</v>
      </c>
      <c r="B152" s="59" t="s">
        <v>327</v>
      </c>
      <c r="C152" s="155"/>
      <c r="D152" s="155">
        <f t="shared" si="4"/>
        <v>0</v>
      </c>
      <c r="E152" s="156">
        <f t="shared" si="5"/>
        <v>0</v>
      </c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</row>
    <row r="153" spans="1:25" ht="16.5" hidden="1" thickBot="1" x14ac:dyDescent="0.3">
      <c r="A153" s="253">
        <v>2750</v>
      </c>
      <c r="B153" s="59" t="s">
        <v>328</v>
      </c>
      <c r="C153" s="155"/>
      <c r="D153" s="155">
        <f t="shared" si="4"/>
        <v>0</v>
      </c>
      <c r="E153" s="156">
        <f t="shared" si="5"/>
        <v>0</v>
      </c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</row>
    <row r="154" spans="1:25" ht="16.5" hidden="1" thickBot="1" x14ac:dyDescent="0.3">
      <c r="A154" s="253">
        <v>2760</v>
      </c>
      <c r="B154" s="59" t="s">
        <v>329</v>
      </c>
      <c r="C154" s="155"/>
      <c r="D154" s="155">
        <f t="shared" ref="D154:D195" si="6">SUM(F154:AF154)</f>
        <v>0</v>
      </c>
      <c r="E154" s="156">
        <f t="shared" si="5"/>
        <v>0</v>
      </c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</row>
    <row r="155" spans="1:25" ht="16.5" hidden="1" thickBot="1" x14ac:dyDescent="0.3">
      <c r="A155" s="253">
        <v>2770</v>
      </c>
      <c r="B155" s="59" t="s">
        <v>330</v>
      </c>
      <c r="C155" s="155"/>
      <c r="D155" s="155">
        <f t="shared" si="6"/>
        <v>0</v>
      </c>
      <c r="E155" s="156">
        <f t="shared" si="5"/>
        <v>0</v>
      </c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</row>
    <row r="156" spans="1:25" ht="16.5" hidden="1" thickBot="1" x14ac:dyDescent="0.3">
      <c r="A156" s="253">
        <v>2780</v>
      </c>
      <c r="B156" s="59" t="s">
        <v>331</v>
      </c>
      <c r="C156" s="155"/>
      <c r="D156" s="155">
        <f t="shared" si="6"/>
        <v>0</v>
      </c>
      <c r="E156" s="156">
        <f t="shared" si="5"/>
        <v>0</v>
      </c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</row>
    <row r="157" spans="1:25" ht="16.5" hidden="1" thickBot="1" x14ac:dyDescent="0.3">
      <c r="A157" s="253">
        <v>2790</v>
      </c>
      <c r="B157" s="59" t="s">
        <v>332</v>
      </c>
      <c r="C157" s="155"/>
      <c r="D157" s="155">
        <f t="shared" si="6"/>
        <v>0</v>
      </c>
      <c r="E157" s="156">
        <f t="shared" si="5"/>
        <v>0</v>
      </c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</row>
    <row r="158" spans="1:25" ht="16.5" hidden="1" thickBot="1" x14ac:dyDescent="0.3">
      <c r="A158" s="253">
        <v>2800</v>
      </c>
      <c r="B158" s="59" t="s">
        <v>333</v>
      </c>
      <c r="C158" s="155"/>
      <c r="D158" s="155">
        <f t="shared" si="6"/>
        <v>0</v>
      </c>
      <c r="E158" s="156">
        <f t="shared" si="5"/>
        <v>0</v>
      </c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</row>
    <row r="159" spans="1:25" ht="16.5" hidden="1" thickBot="1" x14ac:dyDescent="0.3">
      <c r="A159" s="253">
        <v>2810</v>
      </c>
      <c r="B159" s="59" t="s">
        <v>334</v>
      </c>
      <c r="C159" s="155"/>
      <c r="D159" s="155">
        <f t="shared" si="6"/>
        <v>0</v>
      </c>
      <c r="E159" s="156">
        <f t="shared" si="5"/>
        <v>0</v>
      </c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</row>
    <row r="160" spans="1:25" ht="16.5" hidden="1" thickBot="1" x14ac:dyDescent="0.3">
      <c r="A160" s="253">
        <v>2820</v>
      </c>
      <c r="B160" s="59" t="s">
        <v>335</v>
      </c>
      <c r="C160" s="155"/>
      <c r="D160" s="155">
        <f t="shared" si="6"/>
        <v>0</v>
      </c>
      <c r="E160" s="156">
        <f t="shared" si="5"/>
        <v>0</v>
      </c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</row>
    <row r="161" spans="1:25" ht="16.5" hidden="1" thickBot="1" x14ac:dyDescent="0.3">
      <c r="A161" s="253">
        <v>2830</v>
      </c>
      <c r="B161" s="59" t="s">
        <v>336</v>
      </c>
      <c r="C161" s="155"/>
      <c r="D161" s="155">
        <f t="shared" si="6"/>
        <v>0</v>
      </c>
      <c r="E161" s="156">
        <f t="shared" si="5"/>
        <v>0</v>
      </c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</row>
    <row r="162" spans="1:25" ht="16.5" hidden="1" thickBot="1" x14ac:dyDescent="0.3">
      <c r="A162" s="253">
        <v>2840</v>
      </c>
      <c r="B162" s="59" t="s">
        <v>337</v>
      </c>
      <c r="C162" s="155"/>
      <c r="D162" s="155">
        <f t="shared" si="6"/>
        <v>0</v>
      </c>
      <c r="E162" s="156">
        <f t="shared" si="5"/>
        <v>0</v>
      </c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</row>
    <row r="163" spans="1:25" ht="16.5" hidden="1" thickBot="1" x14ac:dyDescent="0.3">
      <c r="A163" s="253">
        <v>2862</v>
      </c>
      <c r="B163" s="59" t="s">
        <v>338</v>
      </c>
      <c r="C163" s="155"/>
      <c r="D163" s="155">
        <f t="shared" si="6"/>
        <v>0</v>
      </c>
      <c r="E163" s="156">
        <f t="shared" si="5"/>
        <v>0</v>
      </c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</row>
    <row r="164" spans="1:25" ht="16.5" hidden="1" thickBot="1" x14ac:dyDescent="0.3">
      <c r="A164" s="253">
        <v>2865</v>
      </c>
      <c r="B164" s="59" t="s">
        <v>339</v>
      </c>
      <c r="C164" s="155"/>
      <c r="D164" s="155">
        <f t="shared" si="6"/>
        <v>0</v>
      </c>
      <c r="E164" s="156">
        <f t="shared" si="5"/>
        <v>0</v>
      </c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</row>
    <row r="165" spans="1:25" ht="16.5" hidden="1" thickBot="1" x14ac:dyDescent="0.3">
      <c r="A165" s="253">
        <v>3000</v>
      </c>
      <c r="B165" s="59" t="s">
        <v>340</v>
      </c>
      <c r="C165" s="155"/>
      <c r="D165" s="155">
        <f t="shared" si="6"/>
        <v>0</v>
      </c>
      <c r="E165" s="156">
        <f t="shared" si="5"/>
        <v>0</v>
      </c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</row>
    <row r="166" spans="1:25" ht="16.5" hidden="1" thickBot="1" x14ac:dyDescent="0.3">
      <c r="A166" s="253">
        <v>3010</v>
      </c>
      <c r="B166" s="59" t="s">
        <v>341</v>
      </c>
      <c r="C166" s="155"/>
      <c r="D166" s="155">
        <f t="shared" si="6"/>
        <v>0</v>
      </c>
      <c r="E166" s="156">
        <f t="shared" si="5"/>
        <v>0</v>
      </c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</row>
    <row r="167" spans="1:25" ht="16.5" hidden="1" thickBot="1" x14ac:dyDescent="0.3">
      <c r="A167" s="253">
        <v>3020</v>
      </c>
      <c r="B167" s="59" t="s">
        <v>342</v>
      </c>
      <c r="C167" s="155"/>
      <c r="D167" s="155">
        <f t="shared" si="6"/>
        <v>0</v>
      </c>
      <c r="E167" s="156">
        <f t="shared" si="5"/>
        <v>0</v>
      </c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</row>
    <row r="168" spans="1:25" ht="16.5" hidden="1" thickBot="1" x14ac:dyDescent="0.3">
      <c r="A168" s="253">
        <v>3030</v>
      </c>
      <c r="B168" s="59" t="s">
        <v>343</v>
      </c>
      <c r="C168" s="155"/>
      <c r="D168" s="155">
        <f t="shared" si="6"/>
        <v>0</v>
      </c>
      <c r="E168" s="156">
        <f t="shared" si="5"/>
        <v>0</v>
      </c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</row>
    <row r="169" spans="1:25" ht="16.5" hidden="1" thickBot="1" x14ac:dyDescent="0.3">
      <c r="A169" s="253">
        <v>3040</v>
      </c>
      <c r="B169" s="59" t="s">
        <v>344</v>
      </c>
      <c r="C169" s="155"/>
      <c r="D169" s="155">
        <f t="shared" si="6"/>
        <v>0</v>
      </c>
      <c r="E169" s="156">
        <f t="shared" si="5"/>
        <v>0</v>
      </c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</row>
    <row r="170" spans="1:25" ht="16.5" hidden="1" thickBot="1" x14ac:dyDescent="0.3">
      <c r="A170" s="253">
        <v>3050</v>
      </c>
      <c r="B170" s="59" t="s">
        <v>345</v>
      </c>
      <c r="C170" s="155"/>
      <c r="D170" s="155">
        <f t="shared" si="6"/>
        <v>0</v>
      </c>
      <c r="E170" s="156">
        <f t="shared" si="5"/>
        <v>0</v>
      </c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</row>
    <row r="171" spans="1:25" ht="16.5" hidden="1" thickBot="1" x14ac:dyDescent="0.3">
      <c r="A171" s="253">
        <v>3060</v>
      </c>
      <c r="B171" s="59" t="s">
        <v>346</v>
      </c>
      <c r="C171" s="155"/>
      <c r="D171" s="155">
        <f t="shared" si="6"/>
        <v>0</v>
      </c>
      <c r="E171" s="156">
        <f t="shared" si="5"/>
        <v>0</v>
      </c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</row>
    <row r="172" spans="1:25" ht="16.5" hidden="1" thickBot="1" x14ac:dyDescent="0.3">
      <c r="A172" s="253">
        <v>3070</v>
      </c>
      <c r="B172" s="59" t="s">
        <v>347</v>
      </c>
      <c r="C172" s="155"/>
      <c r="D172" s="155">
        <f t="shared" si="6"/>
        <v>0</v>
      </c>
      <c r="E172" s="156">
        <f t="shared" si="5"/>
        <v>0</v>
      </c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</row>
    <row r="173" spans="1:25" ht="16.5" hidden="1" thickBot="1" x14ac:dyDescent="0.3">
      <c r="A173" s="253">
        <v>3080</v>
      </c>
      <c r="B173" s="59" t="s">
        <v>348</v>
      </c>
      <c r="C173" s="155"/>
      <c r="D173" s="155">
        <f t="shared" si="6"/>
        <v>0</v>
      </c>
      <c r="E173" s="156">
        <f t="shared" si="5"/>
        <v>0</v>
      </c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</row>
    <row r="174" spans="1:25" ht="16.5" hidden="1" thickBot="1" x14ac:dyDescent="0.3">
      <c r="A174" s="253">
        <v>3085</v>
      </c>
      <c r="B174" s="59" t="s">
        <v>349</v>
      </c>
      <c r="C174" s="155"/>
      <c r="D174" s="155">
        <f t="shared" si="6"/>
        <v>0</v>
      </c>
      <c r="E174" s="156">
        <f t="shared" si="5"/>
        <v>0</v>
      </c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</row>
    <row r="175" spans="1:25" ht="16.5" hidden="1" thickBot="1" x14ac:dyDescent="0.3">
      <c r="A175" s="253">
        <v>3090</v>
      </c>
      <c r="B175" s="59" t="s">
        <v>350</v>
      </c>
      <c r="C175" s="155"/>
      <c r="D175" s="155">
        <f t="shared" si="6"/>
        <v>0</v>
      </c>
      <c r="E175" s="156">
        <f t="shared" si="5"/>
        <v>0</v>
      </c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</row>
    <row r="176" spans="1:25" ht="16.5" hidden="1" thickBot="1" x14ac:dyDescent="0.3">
      <c r="A176" s="253">
        <v>3100</v>
      </c>
      <c r="B176" s="59" t="s">
        <v>351</v>
      </c>
      <c r="C176" s="155"/>
      <c r="D176" s="155">
        <f t="shared" si="6"/>
        <v>0</v>
      </c>
      <c r="E176" s="156">
        <f t="shared" si="5"/>
        <v>0</v>
      </c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</row>
    <row r="177" spans="1:25" ht="16.5" hidden="1" thickBot="1" x14ac:dyDescent="0.3">
      <c r="A177" s="253">
        <v>3110</v>
      </c>
      <c r="B177" s="59" t="s">
        <v>352</v>
      </c>
      <c r="C177" s="155"/>
      <c r="D177" s="155">
        <f t="shared" si="6"/>
        <v>0</v>
      </c>
      <c r="E177" s="156">
        <f t="shared" si="5"/>
        <v>0</v>
      </c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</row>
    <row r="178" spans="1:25" ht="16.5" hidden="1" thickBot="1" x14ac:dyDescent="0.3">
      <c r="A178" s="253">
        <v>3120</v>
      </c>
      <c r="B178" s="59" t="s">
        <v>353</v>
      </c>
      <c r="C178" s="155"/>
      <c r="D178" s="155">
        <f t="shared" si="6"/>
        <v>0</v>
      </c>
      <c r="E178" s="156">
        <f t="shared" si="5"/>
        <v>0</v>
      </c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</row>
    <row r="179" spans="1:25" ht="16.5" hidden="1" thickBot="1" x14ac:dyDescent="0.3">
      <c r="A179" s="253">
        <v>3130</v>
      </c>
      <c r="B179" s="59" t="s">
        <v>354</v>
      </c>
      <c r="C179" s="155"/>
      <c r="D179" s="155">
        <f t="shared" si="6"/>
        <v>0</v>
      </c>
      <c r="E179" s="156">
        <f t="shared" si="5"/>
        <v>0</v>
      </c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</row>
    <row r="180" spans="1:25" ht="16.5" hidden="1" thickBot="1" x14ac:dyDescent="0.3">
      <c r="A180" s="253">
        <v>3140</v>
      </c>
      <c r="B180" s="59" t="s">
        <v>355</v>
      </c>
      <c r="C180" s="155"/>
      <c r="D180" s="155">
        <f t="shared" si="6"/>
        <v>0</v>
      </c>
      <c r="E180" s="156">
        <f t="shared" si="5"/>
        <v>0</v>
      </c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</row>
    <row r="181" spans="1:25" ht="16.5" hidden="1" thickBot="1" x14ac:dyDescent="0.3">
      <c r="A181" s="253">
        <v>3145</v>
      </c>
      <c r="B181" s="59" t="s">
        <v>356</v>
      </c>
      <c r="C181" s="155"/>
      <c r="D181" s="155">
        <f t="shared" si="6"/>
        <v>0</v>
      </c>
      <c r="E181" s="156">
        <f t="shared" si="5"/>
        <v>0</v>
      </c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</row>
    <row r="182" spans="1:25" ht="16.5" hidden="1" thickBot="1" x14ac:dyDescent="0.3">
      <c r="A182" s="253">
        <v>3146</v>
      </c>
      <c r="B182" s="59" t="s">
        <v>357</v>
      </c>
      <c r="C182" s="155"/>
      <c r="D182" s="155">
        <f t="shared" si="6"/>
        <v>0</v>
      </c>
      <c r="E182" s="156">
        <f t="shared" si="5"/>
        <v>0</v>
      </c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</row>
    <row r="183" spans="1:25" ht="16.5" hidden="1" thickBot="1" x14ac:dyDescent="0.3">
      <c r="A183" s="253">
        <v>3147</v>
      </c>
      <c r="B183" s="59" t="s">
        <v>358</v>
      </c>
      <c r="C183" s="155"/>
      <c r="D183" s="155">
        <f t="shared" si="6"/>
        <v>0</v>
      </c>
      <c r="E183" s="156">
        <f t="shared" si="5"/>
        <v>0</v>
      </c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</row>
    <row r="184" spans="1:25" ht="16.5" hidden="1" thickBot="1" x14ac:dyDescent="0.3">
      <c r="A184" s="253">
        <v>3148</v>
      </c>
      <c r="B184" s="59" t="s">
        <v>359</v>
      </c>
      <c r="C184" s="155"/>
      <c r="D184" s="155">
        <f t="shared" si="6"/>
        <v>0</v>
      </c>
      <c r="E184" s="156">
        <f t="shared" si="5"/>
        <v>0</v>
      </c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</row>
    <row r="185" spans="1:25" ht="16.5" hidden="1" thickBot="1" x14ac:dyDescent="0.3">
      <c r="A185" s="253">
        <v>3200</v>
      </c>
      <c r="B185" s="59" t="s">
        <v>360</v>
      </c>
      <c r="C185" s="155"/>
      <c r="D185" s="155">
        <f t="shared" si="6"/>
        <v>0</v>
      </c>
      <c r="E185" s="156">
        <f t="shared" si="5"/>
        <v>0</v>
      </c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</row>
    <row r="186" spans="1:25" ht="16.5" hidden="1" thickBot="1" x14ac:dyDescent="0.3">
      <c r="A186" s="253">
        <v>3210</v>
      </c>
      <c r="B186" s="59" t="s">
        <v>361</v>
      </c>
      <c r="C186" s="155"/>
      <c r="D186" s="155">
        <f t="shared" si="6"/>
        <v>0</v>
      </c>
      <c r="E186" s="156">
        <f t="shared" si="5"/>
        <v>0</v>
      </c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</row>
    <row r="187" spans="1:25" ht="16.5" hidden="1" thickBot="1" x14ac:dyDescent="0.3">
      <c r="A187" s="253">
        <v>3220</v>
      </c>
      <c r="B187" s="59" t="s">
        <v>362</v>
      </c>
      <c r="C187" s="155"/>
      <c r="D187" s="155">
        <f t="shared" si="6"/>
        <v>0</v>
      </c>
      <c r="E187" s="156">
        <f t="shared" si="5"/>
        <v>0</v>
      </c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</row>
    <row r="188" spans="1:25" ht="16.5" hidden="1" thickBot="1" x14ac:dyDescent="0.3">
      <c r="A188" s="253">
        <v>3230</v>
      </c>
      <c r="B188" s="59" t="s">
        <v>363</v>
      </c>
      <c r="C188" s="155"/>
      <c r="D188" s="155">
        <f t="shared" si="6"/>
        <v>0</v>
      </c>
      <c r="E188" s="156">
        <f t="shared" si="5"/>
        <v>0</v>
      </c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</row>
    <row r="189" spans="1:25" ht="16.5" hidden="1" thickBot="1" x14ac:dyDescent="0.3">
      <c r="A189" s="253">
        <v>9000</v>
      </c>
      <c r="B189" s="59" t="s">
        <v>366</v>
      </c>
      <c r="C189" s="155"/>
      <c r="D189" s="155">
        <f t="shared" si="6"/>
        <v>0</v>
      </c>
      <c r="E189" s="156">
        <f t="shared" si="5"/>
        <v>0</v>
      </c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</row>
    <row r="190" spans="1:25" ht="16.5" hidden="1" thickBot="1" x14ac:dyDescent="0.3">
      <c r="A190" s="250">
        <v>8001</v>
      </c>
      <c r="B190" s="59" t="s">
        <v>365</v>
      </c>
      <c r="C190" s="155"/>
      <c r="D190" s="155">
        <f t="shared" si="6"/>
        <v>0</v>
      </c>
      <c r="E190" s="156">
        <f t="shared" si="5"/>
        <v>0</v>
      </c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</row>
    <row r="191" spans="1:25" ht="16.5" hidden="1" thickBot="1" x14ac:dyDescent="0.3">
      <c r="A191" s="251">
        <v>9025</v>
      </c>
      <c r="B191" s="65" t="s">
        <v>380</v>
      </c>
      <c r="C191" s="155"/>
      <c r="D191" s="155">
        <f t="shared" si="6"/>
        <v>0</v>
      </c>
      <c r="E191" s="156">
        <f t="shared" si="5"/>
        <v>0</v>
      </c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</row>
    <row r="192" spans="1:25" ht="16.5" thickBot="1" x14ac:dyDescent="0.3">
      <c r="A192" s="251">
        <v>9035</v>
      </c>
      <c r="B192" s="65" t="s">
        <v>381</v>
      </c>
      <c r="C192" s="155">
        <v>2264226</v>
      </c>
      <c r="D192" s="155">
        <f t="shared" si="6"/>
        <v>2202786</v>
      </c>
      <c r="E192" s="156">
        <f t="shared" si="5"/>
        <v>61440</v>
      </c>
      <c r="F192" s="124"/>
      <c r="G192" s="124"/>
      <c r="H192" s="124"/>
      <c r="I192" s="124">
        <v>312700</v>
      </c>
      <c r="J192" s="97">
        <v>250000</v>
      </c>
      <c r="K192" s="97">
        <v>165700</v>
      </c>
      <c r="L192" s="124">
        <v>175000</v>
      </c>
      <c r="M192" s="124">
        <v>180000</v>
      </c>
      <c r="N192" s="124">
        <v>186000</v>
      </c>
      <c r="O192" s="124">
        <v>150000</v>
      </c>
      <c r="P192" s="124">
        <v>200000</v>
      </c>
      <c r="Q192" s="124">
        <v>199000</v>
      </c>
      <c r="R192" s="124">
        <v>149000</v>
      </c>
      <c r="S192" s="124">
        <v>141000</v>
      </c>
      <c r="T192" s="124">
        <f>58016</f>
        <v>58016</v>
      </c>
      <c r="U192" s="124">
        <v>36370</v>
      </c>
      <c r="V192" s="124"/>
      <c r="W192" s="124"/>
      <c r="X192" s="124"/>
      <c r="Y192" s="124"/>
    </row>
    <row r="193" spans="1:32" ht="16.5" hidden="1" thickBot="1" x14ac:dyDescent="0.3">
      <c r="A193" s="251" t="s">
        <v>377</v>
      </c>
      <c r="B193" s="66" t="s">
        <v>382</v>
      </c>
      <c r="C193" s="155"/>
      <c r="D193" s="155">
        <f t="shared" si="6"/>
        <v>0</v>
      </c>
      <c r="E193" s="156">
        <f t="shared" si="5"/>
        <v>0</v>
      </c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</row>
    <row r="194" spans="1:32" s="20" customFormat="1" ht="16.5" thickBot="1" x14ac:dyDescent="0.3">
      <c r="A194" s="251">
        <v>9055</v>
      </c>
      <c r="B194" s="66" t="s">
        <v>413</v>
      </c>
      <c r="C194" s="155">
        <v>493259</v>
      </c>
      <c r="D194" s="155">
        <f t="shared" si="6"/>
        <v>457815</v>
      </c>
      <c r="E194" s="156">
        <f t="shared" si="5"/>
        <v>35444</v>
      </c>
      <c r="F194" s="124"/>
      <c r="G194" s="124"/>
      <c r="H194" s="97"/>
      <c r="I194" s="97"/>
      <c r="J194" s="97">
        <v>114223</v>
      </c>
      <c r="K194" s="124"/>
      <c r="L194" s="124"/>
      <c r="M194" s="124"/>
      <c r="N194" s="124"/>
      <c r="O194" s="124">
        <v>93267</v>
      </c>
      <c r="P194" s="124">
        <f>38243+126846</f>
        <v>165089</v>
      </c>
      <c r="Q194" s="124"/>
      <c r="R194" s="124"/>
      <c r="S194" s="124"/>
      <c r="T194" s="124"/>
      <c r="U194" s="124">
        <v>85236</v>
      </c>
      <c r="V194" s="124"/>
      <c r="W194" s="124"/>
      <c r="X194" s="124"/>
      <c r="Y194" s="124"/>
    </row>
    <row r="195" spans="1:32" s="20" customFormat="1" ht="16.5" thickBot="1" x14ac:dyDescent="0.3">
      <c r="A195" s="251">
        <v>9060</v>
      </c>
      <c r="B195" s="66" t="s">
        <v>414</v>
      </c>
      <c r="C195" s="157">
        <v>759610</v>
      </c>
      <c r="D195" s="155">
        <f t="shared" si="6"/>
        <v>542712</v>
      </c>
      <c r="E195" s="156">
        <f t="shared" si="5"/>
        <v>216898</v>
      </c>
      <c r="F195" s="124"/>
      <c r="G195" s="124"/>
      <c r="H195" s="124"/>
      <c r="I195" s="124"/>
      <c r="J195" s="124">
        <v>107480</v>
      </c>
      <c r="K195" s="124">
        <v>140619</v>
      </c>
      <c r="L195" s="124"/>
      <c r="M195" s="124">
        <v>92360</v>
      </c>
      <c r="N195" s="124">
        <v>65479</v>
      </c>
      <c r="O195" s="124"/>
      <c r="P195" s="124"/>
      <c r="Q195" s="124">
        <v>15196</v>
      </c>
      <c r="R195" s="124"/>
      <c r="S195" s="124">
        <v>121578</v>
      </c>
      <c r="T195" s="124"/>
      <c r="U195" s="124"/>
      <c r="V195" s="124"/>
      <c r="W195" s="124"/>
      <c r="X195" s="124"/>
      <c r="Y195" s="124"/>
    </row>
    <row r="196" spans="1:32" ht="16.5" hidden="1" thickBot="1" x14ac:dyDescent="0.3">
      <c r="A196" s="251" t="s">
        <v>378</v>
      </c>
      <c r="B196" s="65" t="s">
        <v>383</v>
      </c>
      <c r="C196" s="155"/>
      <c r="D196" s="155">
        <f t="shared" ref="D196:D197" si="7">SUM(F196:T196)</f>
        <v>0</v>
      </c>
      <c r="E196" s="156">
        <f t="shared" si="5"/>
        <v>0</v>
      </c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</row>
    <row r="197" spans="1:32" ht="16.5" hidden="1" thickBot="1" x14ac:dyDescent="0.3">
      <c r="A197" s="251" t="s">
        <v>379</v>
      </c>
      <c r="B197" s="67" t="s">
        <v>384</v>
      </c>
      <c r="C197" s="155"/>
      <c r="D197" s="155">
        <f t="shared" si="7"/>
        <v>0</v>
      </c>
      <c r="E197" s="156">
        <f t="shared" si="5"/>
        <v>0</v>
      </c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</row>
    <row r="198" spans="1:32" s="20" customFormat="1" ht="16.5" thickBot="1" x14ac:dyDescent="0.3">
      <c r="A198" s="252"/>
      <c r="B198" s="161"/>
      <c r="C198" s="158"/>
      <c r="D198" s="158"/>
      <c r="E198" s="159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</row>
    <row r="199" spans="1:32" s="166" customFormat="1" ht="16.5" thickBot="1" x14ac:dyDescent="0.3">
      <c r="A199" s="254"/>
      <c r="B199" s="163"/>
      <c r="C199" s="164">
        <f>SUM(C11:C197)</f>
        <v>5322056</v>
      </c>
      <c r="D199" s="164">
        <f t="shared" ref="D199:AF199" si="8">SUM(D11:D197)</f>
        <v>4758841</v>
      </c>
      <c r="E199" s="164">
        <f>E25+E53+E118+E192+E194+E195</f>
        <v>563215</v>
      </c>
      <c r="F199" s="165">
        <f t="shared" si="8"/>
        <v>0</v>
      </c>
      <c r="G199" s="165">
        <f t="shared" si="8"/>
        <v>0</v>
      </c>
      <c r="H199" s="165">
        <f t="shared" si="8"/>
        <v>0</v>
      </c>
      <c r="I199" s="165">
        <f t="shared" si="8"/>
        <v>348338</v>
      </c>
      <c r="J199" s="165">
        <f t="shared" si="8"/>
        <v>474458</v>
      </c>
      <c r="K199" s="165">
        <f t="shared" si="8"/>
        <v>462576</v>
      </c>
      <c r="L199" s="165">
        <f t="shared" si="8"/>
        <v>262851</v>
      </c>
      <c r="M199" s="165">
        <f t="shared" si="8"/>
        <v>556513</v>
      </c>
      <c r="N199" s="165">
        <f t="shared" si="8"/>
        <v>402054</v>
      </c>
      <c r="O199" s="165">
        <f t="shared" si="8"/>
        <v>377504</v>
      </c>
      <c r="P199" s="165">
        <f t="shared" si="8"/>
        <v>559140</v>
      </c>
      <c r="Q199" s="165">
        <f t="shared" si="8"/>
        <v>532791</v>
      </c>
      <c r="R199" s="272">
        <f t="shared" si="8"/>
        <v>149000</v>
      </c>
      <c r="S199" s="272">
        <f t="shared" si="8"/>
        <v>319308</v>
      </c>
      <c r="T199" s="272">
        <f t="shared" si="8"/>
        <v>192014</v>
      </c>
      <c r="U199" s="272">
        <f t="shared" si="8"/>
        <v>122294</v>
      </c>
      <c r="V199" s="272">
        <f t="shared" si="8"/>
        <v>0</v>
      </c>
      <c r="W199" s="272">
        <f t="shared" si="8"/>
        <v>0</v>
      </c>
      <c r="X199" s="272">
        <f t="shared" si="8"/>
        <v>0</v>
      </c>
      <c r="Y199" s="272">
        <f t="shared" si="8"/>
        <v>0</v>
      </c>
      <c r="Z199" s="272">
        <f t="shared" si="8"/>
        <v>0</v>
      </c>
      <c r="AA199" s="272">
        <f t="shared" si="8"/>
        <v>0</v>
      </c>
      <c r="AB199" s="272">
        <f t="shared" si="8"/>
        <v>0</v>
      </c>
      <c r="AC199" s="272">
        <f t="shared" si="8"/>
        <v>0</v>
      </c>
      <c r="AD199" s="272">
        <f t="shared" si="8"/>
        <v>0</v>
      </c>
      <c r="AE199" s="272">
        <f t="shared" si="8"/>
        <v>0</v>
      </c>
      <c r="AF199" s="272">
        <f t="shared" si="8"/>
        <v>0</v>
      </c>
    </row>
    <row r="201" spans="1:32" x14ac:dyDescent="0.25">
      <c r="O201" s="256"/>
    </row>
    <row r="202" spans="1:32" x14ac:dyDescent="0.25">
      <c r="Q202" s="25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F200"/>
  <sheetViews>
    <sheetView workbookViewId="0">
      <pane xSplit="5" ySplit="17" topLeftCell="AD18" activePane="bottomRight" state="frozen"/>
      <selection pane="topRight" activeCell="F1" sqref="F1"/>
      <selection pane="bottomLeft" activeCell="A18" sqref="A18"/>
      <selection pane="bottomRight" activeCell="AD18" sqref="AD18"/>
    </sheetView>
  </sheetViews>
  <sheetFormatPr defaultRowHeight="15" x14ac:dyDescent="0.25"/>
  <cols>
    <col min="1" max="1" width="9.140625" style="20" customWidth="1"/>
    <col min="2" max="2" width="36.7109375" style="20" customWidth="1"/>
    <col min="3" max="3" width="20.85546875" style="20" customWidth="1"/>
    <col min="4" max="4" width="18.85546875" style="20" customWidth="1"/>
    <col min="5" max="5" width="17" style="20" customWidth="1"/>
    <col min="6" max="32" width="15.7109375" customWidth="1"/>
  </cols>
  <sheetData>
    <row r="1" spans="1:32" ht="21" x14ac:dyDescent="0.35">
      <c r="A1" s="26" t="s">
        <v>0</v>
      </c>
      <c r="B1" s="27"/>
      <c r="C1" s="28" t="s">
        <v>391</v>
      </c>
      <c r="D1" s="26"/>
      <c r="E1" s="29"/>
      <c r="F1" s="30"/>
      <c r="G1" s="30"/>
      <c r="H1" s="28" t="str">
        <f>A1</f>
        <v>Grant:</v>
      </c>
      <c r="I1" s="28" t="str">
        <f>C1</f>
        <v>Title I-D Delinquent</v>
      </c>
      <c r="J1" s="26"/>
      <c r="K1" s="26"/>
      <c r="L1" s="29"/>
      <c r="M1" s="29"/>
      <c r="N1" s="30"/>
      <c r="O1" s="30"/>
      <c r="P1" s="28" t="s">
        <v>0</v>
      </c>
      <c r="Q1" s="28" t="s">
        <v>391</v>
      </c>
      <c r="R1" s="26"/>
      <c r="S1" s="26"/>
      <c r="T1" s="29"/>
      <c r="U1" s="29"/>
      <c r="V1" s="30"/>
      <c r="W1" s="30"/>
      <c r="X1" s="28" t="s">
        <v>0</v>
      </c>
      <c r="Y1" s="28" t="s">
        <v>7</v>
      </c>
      <c r="Z1" s="26"/>
      <c r="AA1" s="26"/>
      <c r="AB1" s="29"/>
      <c r="AC1" s="29"/>
      <c r="AD1" s="30"/>
      <c r="AE1" s="30"/>
      <c r="AF1" s="28"/>
    </row>
    <row r="2" spans="1:32" ht="15.75" x14ac:dyDescent="0.25">
      <c r="A2" s="31" t="s">
        <v>1</v>
      </c>
      <c r="B2" s="27"/>
      <c r="C2" s="32" t="s">
        <v>368</v>
      </c>
      <c r="D2" s="31"/>
      <c r="E2" s="33"/>
      <c r="F2" s="30"/>
      <c r="G2" s="30"/>
      <c r="H2" s="31" t="s">
        <v>2</v>
      </c>
      <c r="I2" s="31"/>
      <c r="J2" s="34" t="str">
        <f>$C$4</f>
        <v>2013-14</v>
      </c>
      <c r="K2" s="34"/>
      <c r="L2" s="33"/>
      <c r="M2" s="33"/>
      <c r="N2" s="33"/>
      <c r="O2" s="33"/>
      <c r="P2" s="31" t="s">
        <v>2</v>
      </c>
      <c r="Q2" s="31"/>
      <c r="R2" s="34" t="str">
        <f>$C$4</f>
        <v>2013-14</v>
      </c>
      <c r="S2" s="34"/>
      <c r="T2" s="33"/>
      <c r="U2" s="33"/>
      <c r="V2" s="33"/>
      <c r="W2" s="33"/>
      <c r="X2" s="31" t="s">
        <v>2</v>
      </c>
      <c r="Y2" s="31"/>
      <c r="Z2" s="34" t="str">
        <f>$C$4</f>
        <v>2013-14</v>
      </c>
      <c r="AA2" s="34"/>
      <c r="AB2" s="33"/>
      <c r="AC2" s="33"/>
      <c r="AD2" s="33"/>
      <c r="AE2" s="33"/>
      <c r="AF2" s="31"/>
    </row>
    <row r="3" spans="1:32" ht="15.75" x14ac:dyDescent="0.25">
      <c r="A3" s="31" t="s">
        <v>4</v>
      </c>
      <c r="B3" s="27"/>
      <c r="C3" s="34" t="s">
        <v>392</v>
      </c>
      <c r="D3" s="31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5.75" x14ac:dyDescent="0.25">
      <c r="A4" s="31" t="s">
        <v>2</v>
      </c>
      <c r="B4" s="27"/>
      <c r="C4" s="34" t="str">
        <f>'NCLB Title I-A Formula'!$C$4</f>
        <v>2013-14</v>
      </c>
      <c r="D4" s="33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5.75" x14ac:dyDescent="0.25">
      <c r="A5" s="31" t="s">
        <v>437</v>
      </c>
      <c r="B5" s="27"/>
      <c r="C5" s="262" t="s">
        <v>479</v>
      </c>
      <c r="D5" s="31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5.75" x14ac:dyDescent="0.25">
      <c r="A6" s="31" t="s">
        <v>5</v>
      </c>
      <c r="B6" s="27"/>
      <c r="C6" s="31" t="s">
        <v>6</v>
      </c>
      <c r="D6" s="31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.75" x14ac:dyDescent="0.25">
      <c r="A7" s="31" t="s">
        <v>388</v>
      </c>
      <c r="B7" s="27"/>
      <c r="C7" s="31" t="s">
        <v>460</v>
      </c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.75" x14ac:dyDescent="0.25">
      <c r="A8" s="31" t="s">
        <v>389</v>
      </c>
      <c r="B8" s="27"/>
      <c r="C8" s="31" t="s">
        <v>390</v>
      </c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6.5" thickBot="1" x14ac:dyDescent="0.3">
      <c r="A9" s="31" t="s">
        <v>438</v>
      </c>
      <c r="B9" s="27"/>
      <c r="C9" s="31" t="s">
        <v>463</v>
      </c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32.25" customHeight="1" thickBot="1" x14ac:dyDescent="0.3">
      <c r="A10" s="128" t="s">
        <v>370</v>
      </c>
      <c r="B10" s="129" t="s">
        <v>371</v>
      </c>
      <c r="C10" s="129" t="s">
        <v>372</v>
      </c>
      <c r="D10" s="129" t="s">
        <v>373</v>
      </c>
      <c r="E10" s="113" t="s">
        <v>374</v>
      </c>
      <c r="F10" s="132" t="s">
        <v>385</v>
      </c>
      <c r="G10" s="132" t="s">
        <v>386</v>
      </c>
      <c r="H10" s="132" t="s">
        <v>387</v>
      </c>
      <c r="I10" s="132" t="s">
        <v>450</v>
      </c>
      <c r="J10" s="132" t="s">
        <v>451</v>
      </c>
      <c r="K10" s="132" t="s">
        <v>452</v>
      </c>
      <c r="L10" s="132" t="s">
        <v>453</v>
      </c>
      <c r="M10" s="132" t="s">
        <v>454</v>
      </c>
      <c r="N10" s="132" t="s">
        <v>455</v>
      </c>
      <c r="O10" s="132" t="s">
        <v>456</v>
      </c>
      <c r="P10" s="132" t="s">
        <v>457</v>
      </c>
      <c r="Q10" s="132" t="s">
        <v>458</v>
      </c>
      <c r="R10" s="132" t="s">
        <v>447</v>
      </c>
      <c r="S10" s="132" t="s">
        <v>448</v>
      </c>
      <c r="T10" s="132" t="s">
        <v>449</v>
      </c>
      <c r="U10" s="132" t="s">
        <v>464</v>
      </c>
      <c r="V10" s="132" t="s">
        <v>465</v>
      </c>
      <c r="W10" s="132" t="s">
        <v>466</v>
      </c>
      <c r="X10" s="132" t="s">
        <v>467</v>
      </c>
      <c r="Y10" s="132" t="s">
        <v>468</v>
      </c>
      <c r="Z10" s="132" t="s">
        <v>469</v>
      </c>
      <c r="AA10" s="132" t="s">
        <v>470</v>
      </c>
      <c r="AB10" s="132" t="s">
        <v>471</v>
      </c>
      <c r="AC10" s="132" t="s">
        <v>472</v>
      </c>
      <c r="AD10" s="132" t="s">
        <v>473</v>
      </c>
      <c r="AE10" s="132" t="s">
        <v>474</v>
      </c>
      <c r="AF10" s="132" t="s">
        <v>475</v>
      </c>
    </row>
    <row r="11" spans="1:32" ht="16.5" hidden="1" thickBot="1" x14ac:dyDescent="0.3">
      <c r="A11" s="40" t="s">
        <v>8</v>
      </c>
      <c r="B11" s="41" t="s">
        <v>186</v>
      </c>
      <c r="C11" s="175">
        <v>0</v>
      </c>
      <c r="D11" s="110">
        <f>SUM(F11:AF11)</f>
        <v>0</v>
      </c>
      <c r="E11" s="114">
        <f>C11-D11</f>
        <v>0</v>
      </c>
    </row>
    <row r="12" spans="1:32" ht="16.5" hidden="1" thickBot="1" x14ac:dyDescent="0.3">
      <c r="A12" s="68" t="s">
        <v>9</v>
      </c>
      <c r="B12" s="69" t="s">
        <v>187</v>
      </c>
      <c r="C12" s="175">
        <v>0</v>
      </c>
      <c r="D12" s="112">
        <f t="shared" ref="D12:D75" si="0">SUM(F12:AF12)</f>
        <v>0</v>
      </c>
      <c r="E12" s="115">
        <f t="shared" ref="E12:E75" si="1">C12-D12</f>
        <v>0</v>
      </c>
    </row>
    <row r="13" spans="1:32" ht="16.5" hidden="1" thickBot="1" x14ac:dyDescent="0.3">
      <c r="A13" s="70" t="s">
        <v>10</v>
      </c>
      <c r="B13" s="71" t="s">
        <v>188</v>
      </c>
      <c r="C13" s="175">
        <v>0</v>
      </c>
      <c r="D13" s="111">
        <f t="shared" si="0"/>
        <v>0</v>
      </c>
      <c r="E13" s="116">
        <f t="shared" si="1"/>
        <v>0</v>
      </c>
    </row>
    <row r="14" spans="1:32" ht="16.5" hidden="1" thickBot="1" x14ac:dyDescent="0.3">
      <c r="A14" s="70" t="s">
        <v>11</v>
      </c>
      <c r="B14" s="71" t="s">
        <v>189</v>
      </c>
      <c r="C14" s="175">
        <v>0</v>
      </c>
      <c r="D14" s="108">
        <f t="shared" si="0"/>
        <v>0</v>
      </c>
      <c r="E14" s="117">
        <f t="shared" si="1"/>
        <v>0</v>
      </c>
    </row>
    <row r="15" spans="1:32" ht="16.5" hidden="1" thickBot="1" x14ac:dyDescent="0.3">
      <c r="A15" s="70" t="s">
        <v>12</v>
      </c>
      <c r="B15" s="71" t="s">
        <v>190</v>
      </c>
      <c r="C15" s="175">
        <v>0</v>
      </c>
      <c r="D15" s="108">
        <f t="shared" si="0"/>
        <v>0</v>
      </c>
      <c r="E15" s="117">
        <f t="shared" si="1"/>
        <v>0</v>
      </c>
    </row>
    <row r="16" spans="1:32" ht="16.5" hidden="1" thickBot="1" x14ac:dyDescent="0.3">
      <c r="A16" s="70" t="s">
        <v>13</v>
      </c>
      <c r="B16" s="71" t="s">
        <v>191</v>
      </c>
      <c r="C16" s="175">
        <v>0</v>
      </c>
      <c r="D16" s="108">
        <f t="shared" si="0"/>
        <v>0</v>
      </c>
      <c r="E16" s="117">
        <f t="shared" si="1"/>
        <v>0</v>
      </c>
    </row>
    <row r="17" spans="1:32" ht="16.5" hidden="1" thickBot="1" x14ac:dyDescent="0.3">
      <c r="A17" s="179" t="s">
        <v>14</v>
      </c>
      <c r="B17" s="180" t="s">
        <v>192</v>
      </c>
      <c r="C17" s="175">
        <v>0</v>
      </c>
      <c r="D17" s="108">
        <f t="shared" si="0"/>
        <v>0</v>
      </c>
      <c r="E17" s="117">
        <f t="shared" si="1"/>
        <v>0</v>
      </c>
    </row>
    <row r="18" spans="1:32" ht="16.5" thickBot="1" x14ac:dyDescent="0.3">
      <c r="A18" s="145" t="s">
        <v>15</v>
      </c>
      <c r="B18" s="146" t="s">
        <v>193</v>
      </c>
      <c r="C18" s="175">
        <v>11777</v>
      </c>
      <c r="D18" s="108">
        <f t="shared" si="0"/>
        <v>11777</v>
      </c>
      <c r="E18" s="117">
        <f t="shared" si="1"/>
        <v>0</v>
      </c>
      <c r="J18" s="124"/>
      <c r="K18" s="124"/>
      <c r="L18" s="124"/>
      <c r="M18" s="124">
        <v>1073</v>
      </c>
      <c r="N18" s="124">
        <v>1560</v>
      </c>
      <c r="O18" s="124">
        <v>1560</v>
      </c>
      <c r="P18" s="124">
        <v>1560</v>
      </c>
      <c r="Q18" s="124">
        <f>2600+2839</f>
        <v>5439</v>
      </c>
      <c r="R18" s="124"/>
      <c r="S18" s="124"/>
      <c r="T18" s="124"/>
      <c r="U18" s="124"/>
      <c r="V18" s="124"/>
      <c r="W18" s="124">
        <v>585</v>
      </c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6.5" hidden="1" thickBot="1" x14ac:dyDescent="0.3">
      <c r="A19" s="145" t="s">
        <v>16</v>
      </c>
      <c r="B19" s="146" t="s">
        <v>194</v>
      </c>
      <c r="C19" s="175"/>
      <c r="D19" s="108">
        <f t="shared" si="0"/>
        <v>0</v>
      </c>
      <c r="E19" s="117">
        <f t="shared" si="1"/>
        <v>0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6.5" hidden="1" thickBot="1" x14ac:dyDescent="0.3">
      <c r="A20" s="145" t="s">
        <v>17</v>
      </c>
      <c r="B20" s="146" t="s">
        <v>195</v>
      </c>
      <c r="C20" s="175"/>
      <c r="D20" s="108">
        <f t="shared" si="0"/>
        <v>0</v>
      </c>
      <c r="E20" s="117">
        <f t="shared" si="1"/>
        <v>0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6.5" hidden="1" thickBot="1" x14ac:dyDescent="0.3">
      <c r="A21" s="145" t="s">
        <v>18</v>
      </c>
      <c r="B21" s="146" t="s">
        <v>196</v>
      </c>
      <c r="C21" s="175"/>
      <c r="D21" s="108">
        <f t="shared" si="0"/>
        <v>0</v>
      </c>
      <c r="E21" s="117">
        <f t="shared" si="1"/>
        <v>0</v>
      </c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6.5" thickBot="1" x14ac:dyDescent="0.3">
      <c r="A22" s="145" t="s">
        <v>19</v>
      </c>
      <c r="B22" s="146" t="s">
        <v>197</v>
      </c>
      <c r="C22" s="175">
        <v>110591</v>
      </c>
      <c r="D22" s="108">
        <f t="shared" si="0"/>
        <v>110591</v>
      </c>
      <c r="E22" s="117">
        <f t="shared" si="1"/>
        <v>0</v>
      </c>
      <c r="J22" s="124"/>
      <c r="K22" s="124"/>
      <c r="L22" s="124">
        <v>38541</v>
      </c>
      <c r="M22" s="124">
        <v>9216</v>
      </c>
      <c r="N22" s="124">
        <v>9215</v>
      </c>
      <c r="O22" s="124"/>
      <c r="P22" s="124"/>
      <c r="Q22" s="124">
        <v>27648</v>
      </c>
      <c r="R22" s="124"/>
      <c r="S22" s="124"/>
      <c r="T22" s="124"/>
      <c r="U22" s="124"/>
      <c r="V22" s="124"/>
      <c r="W22" s="124">
        <v>18432</v>
      </c>
      <c r="X22" s="124"/>
      <c r="Y22" s="124">
        <v>7539</v>
      </c>
      <c r="Z22" s="124"/>
      <c r="AA22" s="124"/>
      <c r="AB22" s="124"/>
      <c r="AC22" s="124"/>
      <c r="AD22" s="124"/>
      <c r="AE22" s="124"/>
      <c r="AF22" s="124"/>
    </row>
    <row r="23" spans="1:32" ht="16.5" hidden="1" thickBot="1" x14ac:dyDescent="0.3">
      <c r="A23" s="145" t="s">
        <v>20</v>
      </c>
      <c r="B23" s="146" t="s">
        <v>198</v>
      </c>
      <c r="C23" s="175"/>
      <c r="D23" s="108">
        <f t="shared" si="0"/>
        <v>0</v>
      </c>
      <c r="E23" s="117">
        <f t="shared" si="1"/>
        <v>0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6.5" hidden="1" thickBot="1" x14ac:dyDescent="0.3">
      <c r="A24" s="145" t="s">
        <v>21</v>
      </c>
      <c r="B24" s="146" t="s">
        <v>199</v>
      </c>
      <c r="C24" s="175"/>
      <c r="D24" s="108">
        <f t="shared" si="0"/>
        <v>0</v>
      </c>
      <c r="E24" s="117">
        <f t="shared" si="1"/>
        <v>0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6.5" thickBot="1" x14ac:dyDescent="0.3">
      <c r="A25" s="145" t="s">
        <v>22</v>
      </c>
      <c r="B25" s="146" t="s">
        <v>200</v>
      </c>
      <c r="C25" s="175">
        <v>90853</v>
      </c>
      <c r="D25" s="108">
        <f t="shared" si="0"/>
        <v>90853</v>
      </c>
      <c r="E25" s="117">
        <f t="shared" si="1"/>
        <v>0</v>
      </c>
      <c r="J25" s="124">
        <v>24201</v>
      </c>
      <c r="K25" s="124"/>
      <c r="L25" s="124"/>
      <c r="M25" s="124">
        <v>24028</v>
      </c>
      <c r="N25" s="124">
        <v>797</v>
      </c>
      <c r="O25" s="124">
        <v>15961</v>
      </c>
      <c r="P25" s="124">
        <v>8779</v>
      </c>
      <c r="Q25" s="124">
        <f>7980+8879</f>
        <v>16859</v>
      </c>
      <c r="R25" s="124"/>
      <c r="S25" s="124"/>
      <c r="T25" s="124"/>
      <c r="U25" s="124"/>
      <c r="V25" s="124"/>
      <c r="W25" s="124">
        <v>228</v>
      </c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6.5" hidden="1" thickBot="1" x14ac:dyDescent="0.3">
      <c r="A26" s="145" t="s">
        <v>23</v>
      </c>
      <c r="B26" s="146" t="s">
        <v>201</v>
      </c>
      <c r="C26" s="175"/>
      <c r="D26" s="108">
        <f t="shared" si="0"/>
        <v>0</v>
      </c>
      <c r="E26" s="117">
        <f t="shared" si="1"/>
        <v>0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6.5" hidden="1" thickBot="1" x14ac:dyDescent="0.3">
      <c r="A27" s="145" t="s">
        <v>24</v>
      </c>
      <c r="B27" s="146" t="s">
        <v>202</v>
      </c>
      <c r="C27" s="175"/>
      <c r="D27" s="108">
        <f t="shared" si="0"/>
        <v>0</v>
      </c>
      <c r="E27" s="117">
        <f t="shared" si="1"/>
        <v>0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6.5" hidden="1" thickBot="1" x14ac:dyDescent="0.3">
      <c r="A28" s="145" t="s">
        <v>25</v>
      </c>
      <c r="B28" s="146" t="s">
        <v>203</v>
      </c>
      <c r="C28" s="175"/>
      <c r="D28" s="108">
        <f t="shared" si="0"/>
        <v>0</v>
      </c>
      <c r="E28" s="117">
        <f t="shared" si="1"/>
        <v>0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32" ht="16.5" hidden="1" thickBot="1" x14ac:dyDescent="0.3">
      <c r="A29" s="145" t="s">
        <v>26</v>
      </c>
      <c r="B29" s="146" t="s">
        <v>204</v>
      </c>
      <c r="C29" s="175"/>
      <c r="D29" s="108">
        <f t="shared" si="0"/>
        <v>0</v>
      </c>
      <c r="E29" s="117">
        <f t="shared" si="1"/>
        <v>0</v>
      </c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</row>
    <row r="30" spans="1:32" ht="16.5" hidden="1" thickBot="1" x14ac:dyDescent="0.3">
      <c r="A30" s="145" t="s">
        <v>27</v>
      </c>
      <c r="B30" s="146" t="s">
        <v>205</v>
      </c>
      <c r="C30" s="175"/>
      <c r="D30" s="108">
        <f t="shared" si="0"/>
        <v>0</v>
      </c>
      <c r="E30" s="117">
        <f t="shared" si="1"/>
        <v>0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</row>
    <row r="31" spans="1:32" ht="16.5" hidden="1" thickBot="1" x14ac:dyDescent="0.3">
      <c r="A31" s="145" t="s">
        <v>28</v>
      </c>
      <c r="B31" s="146" t="s">
        <v>206</v>
      </c>
      <c r="C31" s="175"/>
      <c r="D31" s="108">
        <f t="shared" si="0"/>
        <v>0</v>
      </c>
      <c r="E31" s="117">
        <f t="shared" si="1"/>
        <v>0</v>
      </c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</row>
    <row r="32" spans="1:32" ht="16.5" hidden="1" thickBot="1" x14ac:dyDescent="0.3">
      <c r="A32" s="145" t="s">
        <v>29</v>
      </c>
      <c r="B32" s="146" t="s">
        <v>207</v>
      </c>
      <c r="C32" s="175"/>
      <c r="D32" s="108">
        <f t="shared" si="0"/>
        <v>0</v>
      </c>
      <c r="E32" s="117">
        <f t="shared" si="1"/>
        <v>0</v>
      </c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</row>
    <row r="33" spans="1:32" ht="16.5" hidden="1" thickBot="1" x14ac:dyDescent="0.3">
      <c r="A33" s="145" t="s">
        <v>30</v>
      </c>
      <c r="B33" s="146" t="s">
        <v>208</v>
      </c>
      <c r="C33" s="175"/>
      <c r="D33" s="108">
        <f t="shared" si="0"/>
        <v>0</v>
      </c>
      <c r="E33" s="117">
        <f t="shared" si="1"/>
        <v>0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</row>
    <row r="34" spans="1:32" ht="16.5" hidden="1" thickBot="1" x14ac:dyDescent="0.3">
      <c r="A34" s="145" t="s">
        <v>31</v>
      </c>
      <c r="B34" s="146" t="s">
        <v>209</v>
      </c>
      <c r="C34" s="175"/>
      <c r="D34" s="108">
        <f t="shared" si="0"/>
        <v>0</v>
      </c>
      <c r="E34" s="117">
        <f t="shared" si="1"/>
        <v>0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</row>
    <row r="35" spans="1:32" ht="16.5" hidden="1" thickBot="1" x14ac:dyDescent="0.3">
      <c r="A35" s="145" t="s">
        <v>32</v>
      </c>
      <c r="B35" s="146" t="s">
        <v>210</v>
      </c>
      <c r="C35" s="175"/>
      <c r="D35" s="108">
        <f t="shared" si="0"/>
        <v>0</v>
      </c>
      <c r="E35" s="117">
        <f t="shared" si="1"/>
        <v>0</v>
      </c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</row>
    <row r="36" spans="1:32" ht="16.5" hidden="1" thickBot="1" x14ac:dyDescent="0.3">
      <c r="A36" s="145" t="s">
        <v>33</v>
      </c>
      <c r="B36" s="146" t="s">
        <v>211</v>
      </c>
      <c r="C36" s="175"/>
      <c r="D36" s="108">
        <f t="shared" si="0"/>
        <v>0</v>
      </c>
      <c r="E36" s="117">
        <f t="shared" si="1"/>
        <v>0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</row>
    <row r="37" spans="1:32" ht="16.5" hidden="1" thickBot="1" x14ac:dyDescent="0.3">
      <c r="A37" s="145" t="s">
        <v>34</v>
      </c>
      <c r="B37" s="146" t="s">
        <v>212</v>
      </c>
      <c r="C37" s="175"/>
      <c r="D37" s="108">
        <f t="shared" si="0"/>
        <v>0</v>
      </c>
      <c r="E37" s="117">
        <f t="shared" si="1"/>
        <v>0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</row>
    <row r="38" spans="1:32" ht="16.5" hidden="1" thickBot="1" x14ac:dyDescent="0.3">
      <c r="A38" s="145" t="s">
        <v>35</v>
      </c>
      <c r="B38" s="146" t="s">
        <v>213</v>
      </c>
      <c r="C38" s="175"/>
      <c r="D38" s="108">
        <f t="shared" si="0"/>
        <v>0</v>
      </c>
      <c r="E38" s="117">
        <f t="shared" si="1"/>
        <v>0</v>
      </c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</row>
    <row r="39" spans="1:32" ht="16.5" hidden="1" thickBot="1" x14ac:dyDescent="0.3">
      <c r="A39" s="145" t="s">
        <v>36</v>
      </c>
      <c r="B39" s="146" t="s">
        <v>395</v>
      </c>
      <c r="C39" s="175"/>
      <c r="D39" s="108">
        <f t="shared" si="0"/>
        <v>0</v>
      </c>
      <c r="E39" s="117">
        <f t="shared" si="1"/>
        <v>0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</row>
    <row r="40" spans="1:32" ht="16.5" hidden="1" thickBot="1" x14ac:dyDescent="0.3">
      <c r="A40" s="145" t="s">
        <v>37</v>
      </c>
      <c r="B40" s="146" t="s">
        <v>215</v>
      </c>
      <c r="C40" s="175"/>
      <c r="D40" s="108">
        <f t="shared" si="0"/>
        <v>0</v>
      </c>
      <c r="E40" s="117">
        <f t="shared" si="1"/>
        <v>0</v>
      </c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</row>
    <row r="41" spans="1:32" ht="16.5" hidden="1" thickBot="1" x14ac:dyDescent="0.3">
      <c r="A41" s="145" t="s">
        <v>38</v>
      </c>
      <c r="B41" s="146" t="s">
        <v>216</v>
      </c>
      <c r="C41" s="175"/>
      <c r="D41" s="108">
        <f t="shared" si="0"/>
        <v>0</v>
      </c>
      <c r="E41" s="117">
        <f t="shared" si="1"/>
        <v>0</v>
      </c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</row>
    <row r="42" spans="1:32" ht="16.5" hidden="1" thickBot="1" x14ac:dyDescent="0.3">
      <c r="A42" s="145" t="s">
        <v>39</v>
      </c>
      <c r="B42" s="146" t="s">
        <v>217</v>
      </c>
      <c r="C42" s="175"/>
      <c r="D42" s="108">
        <f t="shared" si="0"/>
        <v>0</v>
      </c>
      <c r="E42" s="117">
        <f t="shared" si="1"/>
        <v>0</v>
      </c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</row>
    <row r="43" spans="1:32" ht="16.5" hidden="1" thickBot="1" x14ac:dyDescent="0.3">
      <c r="A43" s="145" t="s">
        <v>40</v>
      </c>
      <c r="B43" s="146" t="s">
        <v>218</v>
      </c>
      <c r="C43" s="175"/>
      <c r="D43" s="108">
        <f t="shared" si="0"/>
        <v>0</v>
      </c>
      <c r="E43" s="117">
        <f t="shared" si="1"/>
        <v>0</v>
      </c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</row>
    <row r="44" spans="1:32" ht="16.5" hidden="1" thickBot="1" x14ac:dyDescent="0.3">
      <c r="A44" s="145" t="s">
        <v>41</v>
      </c>
      <c r="B44" s="146" t="s">
        <v>219</v>
      </c>
      <c r="C44" s="175"/>
      <c r="D44" s="108">
        <f t="shared" si="0"/>
        <v>0</v>
      </c>
      <c r="E44" s="117">
        <f t="shared" si="1"/>
        <v>0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</row>
    <row r="45" spans="1:32" ht="16.5" hidden="1" thickBot="1" x14ac:dyDescent="0.3">
      <c r="A45" s="145" t="s">
        <v>42</v>
      </c>
      <c r="B45" s="147" t="s">
        <v>220</v>
      </c>
      <c r="C45" s="175"/>
      <c r="D45" s="108">
        <f t="shared" si="0"/>
        <v>0</v>
      </c>
      <c r="E45" s="117">
        <f t="shared" si="1"/>
        <v>0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</row>
    <row r="46" spans="1:32" ht="16.5" hidden="1" thickBot="1" x14ac:dyDescent="0.3">
      <c r="A46" s="145" t="s">
        <v>43</v>
      </c>
      <c r="B46" s="146" t="s">
        <v>221</v>
      </c>
      <c r="C46" s="175"/>
      <c r="D46" s="108">
        <f t="shared" si="0"/>
        <v>0</v>
      </c>
      <c r="E46" s="117">
        <f t="shared" si="1"/>
        <v>0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</row>
    <row r="47" spans="1:32" ht="16.5" hidden="1" thickBot="1" x14ac:dyDescent="0.3">
      <c r="A47" s="145" t="s">
        <v>44</v>
      </c>
      <c r="B47" s="146" t="s">
        <v>222</v>
      </c>
      <c r="C47" s="175"/>
      <c r="D47" s="108">
        <f t="shared" si="0"/>
        <v>0</v>
      </c>
      <c r="E47" s="117">
        <f t="shared" si="1"/>
        <v>0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</row>
    <row r="48" spans="1:32" ht="16.5" hidden="1" thickBot="1" x14ac:dyDescent="0.3">
      <c r="A48" s="145" t="s">
        <v>45</v>
      </c>
      <c r="B48" s="146" t="s">
        <v>223</v>
      </c>
      <c r="C48" s="175"/>
      <c r="D48" s="108">
        <f t="shared" si="0"/>
        <v>0</v>
      </c>
      <c r="E48" s="117">
        <f t="shared" si="1"/>
        <v>0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</row>
    <row r="49" spans="1:32" ht="16.5" hidden="1" thickBot="1" x14ac:dyDescent="0.3">
      <c r="A49" s="145" t="s">
        <v>46</v>
      </c>
      <c r="B49" s="146" t="s">
        <v>224</v>
      </c>
      <c r="C49" s="175"/>
      <c r="D49" s="108">
        <f t="shared" si="0"/>
        <v>0</v>
      </c>
      <c r="E49" s="117">
        <f t="shared" si="1"/>
        <v>0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</row>
    <row r="50" spans="1:32" ht="16.5" thickBot="1" x14ac:dyDescent="0.3">
      <c r="A50" s="145" t="s">
        <v>47</v>
      </c>
      <c r="B50" s="146" t="s">
        <v>225</v>
      </c>
      <c r="C50" s="175">
        <v>629242</v>
      </c>
      <c r="D50" s="108">
        <f t="shared" si="0"/>
        <v>629242</v>
      </c>
      <c r="E50" s="117">
        <f t="shared" si="1"/>
        <v>0</v>
      </c>
      <c r="J50" s="124"/>
      <c r="K50" s="124"/>
      <c r="L50" s="124"/>
      <c r="M50" s="124">
        <v>2175</v>
      </c>
      <c r="N50" s="124">
        <v>11118</v>
      </c>
      <c r="O50" s="124">
        <v>12538</v>
      </c>
      <c r="P50" s="124"/>
      <c r="Q50" s="124">
        <v>332392</v>
      </c>
      <c r="R50" s="124"/>
      <c r="S50" s="124">
        <v>104447</v>
      </c>
      <c r="T50" s="124">
        <v>25529</v>
      </c>
      <c r="U50" s="124"/>
      <c r="V50" s="124">
        <v>43424</v>
      </c>
      <c r="W50" s="124">
        <v>53148</v>
      </c>
      <c r="X50" s="124"/>
      <c r="Y50" s="124">
        <v>44471</v>
      </c>
      <c r="Z50" s="124"/>
      <c r="AA50" s="124"/>
      <c r="AB50" s="124"/>
      <c r="AC50" s="124"/>
      <c r="AD50" s="124"/>
      <c r="AE50" s="124"/>
      <c r="AF50" s="124"/>
    </row>
    <row r="51" spans="1:32" ht="16.5" hidden="1" thickBot="1" x14ac:dyDescent="0.3">
      <c r="A51" s="145" t="s">
        <v>48</v>
      </c>
      <c r="B51" s="146" t="s">
        <v>226</v>
      </c>
      <c r="C51" s="175"/>
      <c r="D51" s="108">
        <f t="shared" si="0"/>
        <v>0</v>
      </c>
      <c r="E51" s="117">
        <f t="shared" si="1"/>
        <v>0</v>
      </c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</row>
    <row r="52" spans="1:32" ht="16.5" hidden="1" thickBot="1" x14ac:dyDescent="0.3">
      <c r="A52" s="145" t="s">
        <v>49</v>
      </c>
      <c r="B52" s="146" t="s">
        <v>227</v>
      </c>
      <c r="C52" s="175"/>
      <c r="D52" s="108">
        <f t="shared" si="0"/>
        <v>0</v>
      </c>
      <c r="E52" s="117">
        <f t="shared" si="1"/>
        <v>0</v>
      </c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</row>
    <row r="53" spans="1:32" ht="16.5" hidden="1" thickBot="1" x14ac:dyDescent="0.3">
      <c r="A53" s="145" t="s">
        <v>50</v>
      </c>
      <c r="B53" s="146" t="s">
        <v>228</v>
      </c>
      <c r="C53" s="175"/>
      <c r="D53" s="108">
        <f t="shared" si="0"/>
        <v>0</v>
      </c>
      <c r="E53" s="117">
        <f t="shared" si="1"/>
        <v>0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</row>
    <row r="54" spans="1:32" ht="16.5" hidden="1" thickBot="1" x14ac:dyDescent="0.3">
      <c r="A54" s="145" t="s">
        <v>51</v>
      </c>
      <c r="B54" s="146" t="s">
        <v>229</v>
      </c>
      <c r="C54" s="175"/>
      <c r="D54" s="108">
        <f t="shared" si="0"/>
        <v>0</v>
      </c>
      <c r="E54" s="117">
        <f t="shared" si="1"/>
        <v>0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</row>
    <row r="55" spans="1:32" ht="16.5" hidden="1" thickBot="1" x14ac:dyDescent="0.3">
      <c r="A55" s="145" t="s">
        <v>52</v>
      </c>
      <c r="B55" s="146" t="s">
        <v>230</v>
      </c>
      <c r="C55" s="175"/>
      <c r="D55" s="108">
        <f t="shared" si="0"/>
        <v>0</v>
      </c>
      <c r="E55" s="117">
        <f t="shared" si="1"/>
        <v>0</v>
      </c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</row>
    <row r="56" spans="1:32" ht="16.5" hidden="1" thickBot="1" x14ac:dyDescent="0.3">
      <c r="A56" s="145" t="s">
        <v>53</v>
      </c>
      <c r="B56" s="146" t="s">
        <v>231</v>
      </c>
      <c r="C56" s="175"/>
      <c r="D56" s="108">
        <f t="shared" si="0"/>
        <v>0</v>
      </c>
      <c r="E56" s="117">
        <f t="shared" si="1"/>
        <v>0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</row>
    <row r="57" spans="1:32" ht="16.5" hidden="1" thickBot="1" x14ac:dyDescent="0.3">
      <c r="A57" s="145" t="s">
        <v>54</v>
      </c>
      <c r="B57" s="146" t="s">
        <v>232</v>
      </c>
      <c r="C57" s="175"/>
      <c r="D57" s="108">
        <f t="shared" si="0"/>
        <v>0</v>
      </c>
      <c r="E57" s="117">
        <f t="shared" si="1"/>
        <v>0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</row>
    <row r="58" spans="1:32" ht="16.5" hidden="1" thickBot="1" x14ac:dyDescent="0.3">
      <c r="A58" s="145" t="s">
        <v>55</v>
      </c>
      <c r="B58" s="146" t="s">
        <v>233</v>
      </c>
      <c r="C58" s="175"/>
      <c r="D58" s="108">
        <f t="shared" si="0"/>
        <v>0</v>
      </c>
      <c r="E58" s="117">
        <f t="shared" si="1"/>
        <v>0</v>
      </c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</row>
    <row r="59" spans="1:32" ht="16.5" hidden="1" thickBot="1" x14ac:dyDescent="0.3">
      <c r="A59" s="145" t="s">
        <v>56</v>
      </c>
      <c r="B59" s="146" t="s">
        <v>234</v>
      </c>
      <c r="C59" s="175"/>
      <c r="D59" s="108">
        <f t="shared" si="0"/>
        <v>0</v>
      </c>
      <c r="E59" s="117">
        <f t="shared" si="1"/>
        <v>0</v>
      </c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</row>
    <row r="60" spans="1:32" ht="16.5" hidden="1" thickBot="1" x14ac:dyDescent="0.3">
      <c r="A60" s="145" t="s">
        <v>57</v>
      </c>
      <c r="B60" s="146" t="s">
        <v>235</v>
      </c>
      <c r="C60" s="175"/>
      <c r="D60" s="108">
        <f t="shared" si="0"/>
        <v>0</v>
      </c>
      <c r="E60" s="117">
        <f t="shared" si="1"/>
        <v>0</v>
      </c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</row>
    <row r="61" spans="1:32" ht="16.5" hidden="1" thickBot="1" x14ac:dyDescent="0.3">
      <c r="A61" s="145" t="s">
        <v>58</v>
      </c>
      <c r="B61" s="146" t="s">
        <v>236</v>
      </c>
      <c r="C61" s="175"/>
      <c r="D61" s="108">
        <f t="shared" si="0"/>
        <v>0</v>
      </c>
      <c r="E61" s="117">
        <f t="shared" si="1"/>
        <v>0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</row>
    <row r="62" spans="1:32" ht="16.5" hidden="1" thickBot="1" x14ac:dyDescent="0.3">
      <c r="A62" s="145" t="s">
        <v>59</v>
      </c>
      <c r="B62" s="146" t="s">
        <v>237</v>
      </c>
      <c r="C62" s="175"/>
      <c r="D62" s="108">
        <f t="shared" si="0"/>
        <v>0</v>
      </c>
      <c r="E62" s="117">
        <f t="shared" si="1"/>
        <v>0</v>
      </c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</row>
    <row r="63" spans="1:32" ht="16.5" thickBot="1" x14ac:dyDescent="0.3">
      <c r="A63" s="145" t="s">
        <v>60</v>
      </c>
      <c r="B63" s="146" t="s">
        <v>238</v>
      </c>
      <c r="C63" s="175">
        <v>62251</v>
      </c>
      <c r="D63" s="108">
        <f t="shared" si="0"/>
        <v>62251</v>
      </c>
      <c r="E63" s="117">
        <f t="shared" si="1"/>
        <v>0</v>
      </c>
      <c r="J63" s="124"/>
      <c r="K63" s="124">
        <v>1591</v>
      </c>
      <c r="L63" s="124">
        <v>4980</v>
      </c>
      <c r="M63" s="124">
        <v>5307</v>
      </c>
      <c r="N63" s="124">
        <v>4981</v>
      </c>
      <c r="O63" s="124">
        <v>9961</v>
      </c>
      <c r="P63" s="124">
        <v>653</v>
      </c>
      <c r="Q63" s="124">
        <f>4981+4980</f>
        <v>9961</v>
      </c>
      <c r="R63" s="124"/>
      <c r="S63" s="124"/>
      <c r="T63" s="124"/>
      <c r="U63" s="124"/>
      <c r="V63" s="124"/>
      <c r="W63" s="124"/>
      <c r="X63" s="124">
        <v>5890</v>
      </c>
      <c r="Y63" s="124"/>
      <c r="Z63" s="124">
        <v>10510</v>
      </c>
      <c r="AA63" s="124">
        <v>3425</v>
      </c>
      <c r="AB63" s="124">
        <v>1398</v>
      </c>
      <c r="AC63" s="124"/>
      <c r="AD63" s="124">
        <v>3594</v>
      </c>
      <c r="AE63" s="124"/>
      <c r="AF63" s="124"/>
    </row>
    <row r="64" spans="1:32" ht="16.5" hidden="1" thickBot="1" x14ac:dyDescent="0.3">
      <c r="A64" s="145" t="s">
        <v>61</v>
      </c>
      <c r="B64" s="146" t="s">
        <v>239</v>
      </c>
      <c r="C64" s="175"/>
      <c r="D64" s="108">
        <f t="shared" si="0"/>
        <v>0</v>
      </c>
      <c r="E64" s="117">
        <f t="shared" si="1"/>
        <v>0</v>
      </c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</row>
    <row r="65" spans="1:32" ht="16.5" hidden="1" thickBot="1" x14ac:dyDescent="0.3">
      <c r="A65" s="145" t="s">
        <v>62</v>
      </c>
      <c r="B65" s="146" t="s">
        <v>240</v>
      </c>
      <c r="C65" s="175"/>
      <c r="D65" s="108">
        <f t="shared" si="0"/>
        <v>0</v>
      </c>
      <c r="E65" s="117">
        <f t="shared" si="1"/>
        <v>0</v>
      </c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</row>
    <row r="66" spans="1:32" ht="16.5" hidden="1" thickBot="1" x14ac:dyDescent="0.3">
      <c r="A66" s="145" t="s">
        <v>63</v>
      </c>
      <c r="B66" s="146" t="s">
        <v>241</v>
      </c>
      <c r="C66" s="175"/>
      <c r="D66" s="108">
        <f t="shared" si="0"/>
        <v>0</v>
      </c>
      <c r="E66" s="117">
        <f t="shared" si="1"/>
        <v>0</v>
      </c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</row>
    <row r="67" spans="1:32" ht="16.5" hidden="1" thickBot="1" x14ac:dyDescent="0.3">
      <c r="A67" s="145" t="s">
        <v>64</v>
      </c>
      <c r="B67" s="146" t="s">
        <v>242</v>
      </c>
      <c r="C67" s="175"/>
      <c r="D67" s="108">
        <f t="shared" si="0"/>
        <v>0</v>
      </c>
      <c r="E67" s="117">
        <f t="shared" si="1"/>
        <v>0</v>
      </c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</row>
    <row r="68" spans="1:32" ht="16.5" hidden="1" thickBot="1" x14ac:dyDescent="0.3">
      <c r="A68" s="145" t="s">
        <v>65</v>
      </c>
      <c r="B68" s="146" t="s">
        <v>243</v>
      </c>
      <c r="C68" s="175"/>
      <c r="D68" s="108">
        <f t="shared" si="0"/>
        <v>0</v>
      </c>
      <c r="E68" s="117">
        <f t="shared" si="1"/>
        <v>0</v>
      </c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</row>
    <row r="69" spans="1:32" ht="16.5" hidden="1" thickBot="1" x14ac:dyDescent="0.3">
      <c r="A69" s="145" t="s">
        <v>66</v>
      </c>
      <c r="B69" s="146" t="s">
        <v>244</v>
      </c>
      <c r="C69" s="175"/>
      <c r="D69" s="108">
        <f t="shared" si="0"/>
        <v>0</v>
      </c>
      <c r="E69" s="117">
        <f t="shared" si="1"/>
        <v>0</v>
      </c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</row>
    <row r="70" spans="1:32" ht="16.5" hidden="1" thickBot="1" x14ac:dyDescent="0.3">
      <c r="A70" s="145" t="s">
        <v>67</v>
      </c>
      <c r="B70" s="146" t="s">
        <v>245</v>
      </c>
      <c r="C70" s="175"/>
      <c r="D70" s="108">
        <f t="shared" si="0"/>
        <v>0</v>
      </c>
      <c r="E70" s="117">
        <f t="shared" si="1"/>
        <v>0</v>
      </c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</row>
    <row r="71" spans="1:32" ht="16.5" hidden="1" thickBot="1" x14ac:dyDescent="0.3">
      <c r="A71" s="145" t="s">
        <v>68</v>
      </c>
      <c r="B71" s="146" t="s">
        <v>246</v>
      </c>
      <c r="C71" s="175"/>
      <c r="D71" s="108">
        <f t="shared" si="0"/>
        <v>0</v>
      </c>
      <c r="E71" s="117">
        <f t="shared" si="1"/>
        <v>0</v>
      </c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</row>
    <row r="72" spans="1:32" ht="16.5" hidden="1" thickBot="1" x14ac:dyDescent="0.3">
      <c r="A72" s="145" t="s">
        <v>69</v>
      </c>
      <c r="B72" s="146" t="s">
        <v>247</v>
      </c>
      <c r="C72" s="175"/>
      <c r="D72" s="108">
        <f t="shared" si="0"/>
        <v>0</v>
      </c>
      <c r="E72" s="117">
        <f t="shared" si="1"/>
        <v>0</v>
      </c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</row>
    <row r="73" spans="1:32" ht="16.5" hidden="1" thickBot="1" x14ac:dyDescent="0.3">
      <c r="A73" s="145" t="s">
        <v>70</v>
      </c>
      <c r="B73" s="146" t="s">
        <v>248</v>
      </c>
      <c r="C73" s="175"/>
      <c r="D73" s="108">
        <f t="shared" si="0"/>
        <v>0</v>
      </c>
      <c r="E73" s="117">
        <f t="shared" si="1"/>
        <v>0</v>
      </c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</row>
    <row r="74" spans="1:32" ht="16.5" thickBot="1" x14ac:dyDescent="0.3">
      <c r="A74" s="145" t="s">
        <v>71</v>
      </c>
      <c r="B74" s="146" t="s">
        <v>249</v>
      </c>
      <c r="C74" s="175">
        <v>174977</v>
      </c>
      <c r="D74" s="108">
        <f t="shared" si="0"/>
        <v>174977</v>
      </c>
      <c r="E74" s="117">
        <f t="shared" si="1"/>
        <v>0</v>
      </c>
      <c r="J74" s="124"/>
      <c r="K74" s="124"/>
      <c r="L74" s="124">
        <v>20434</v>
      </c>
      <c r="M74" s="124"/>
      <c r="N74" s="124"/>
      <c r="O74" s="124">
        <v>76963</v>
      </c>
      <c r="P74" s="124"/>
      <c r="Q74" s="124">
        <v>19139</v>
      </c>
      <c r="R74" s="124"/>
      <c r="S74" s="124"/>
      <c r="T74" s="124"/>
      <c r="U74" s="124"/>
      <c r="V74" s="124">
        <v>23395</v>
      </c>
      <c r="W74" s="124"/>
      <c r="X74" s="124"/>
      <c r="Y74" s="124">
        <v>35046</v>
      </c>
      <c r="Z74" s="124"/>
      <c r="AA74" s="124"/>
      <c r="AB74" s="124"/>
      <c r="AC74" s="124"/>
      <c r="AD74" s="124"/>
      <c r="AE74" s="124"/>
      <c r="AF74" s="124"/>
    </row>
    <row r="75" spans="1:32" ht="16.5" hidden="1" thickBot="1" x14ac:dyDescent="0.3">
      <c r="A75" s="145" t="s">
        <v>72</v>
      </c>
      <c r="B75" s="146" t="s">
        <v>250</v>
      </c>
      <c r="C75" s="175"/>
      <c r="D75" s="108">
        <f t="shared" si="0"/>
        <v>0</v>
      </c>
      <c r="E75" s="117">
        <f t="shared" si="1"/>
        <v>0</v>
      </c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</row>
    <row r="76" spans="1:32" ht="16.5" hidden="1" thickBot="1" x14ac:dyDescent="0.3">
      <c r="A76" s="145" t="s">
        <v>73</v>
      </c>
      <c r="B76" s="146" t="s">
        <v>251</v>
      </c>
      <c r="C76" s="175"/>
      <c r="D76" s="108">
        <f t="shared" ref="D76:D139" si="2">SUM(F76:AF76)</f>
        <v>0</v>
      </c>
      <c r="E76" s="117">
        <f t="shared" ref="E76:E139" si="3">C76-D76</f>
        <v>0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</row>
    <row r="77" spans="1:32" ht="16.5" hidden="1" thickBot="1" x14ac:dyDescent="0.3">
      <c r="A77" s="145" t="s">
        <v>74</v>
      </c>
      <c r="B77" s="146" t="s">
        <v>252</v>
      </c>
      <c r="C77" s="175"/>
      <c r="D77" s="108">
        <f t="shared" si="2"/>
        <v>0</v>
      </c>
      <c r="E77" s="117">
        <f t="shared" si="3"/>
        <v>0</v>
      </c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</row>
    <row r="78" spans="1:32" ht="16.5" hidden="1" thickBot="1" x14ac:dyDescent="0.3">
      <c r="A78" s="145" t="s">
        <v>75</v>
      </c>
      <c r="B78" s="146" t="s">
        <v>253</v>
      </c>
      <c r="C78" s="175"/>
      <c r="D78" s="108">
        <f t="shared" si="2"/>
        <v>0</v>
      </c>
      <c r="E78" s="117">
        <f t="shared" si="3"/>
        <v>0</v>
      </c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</row>
    <row r="79" spans="1:32" ht="16.5" hidden="1" thickBot="1" x14ac:dyDescent="0.3">
      <c r="A79" s="145" t="s">
        <v>76</v>
      </c>
      <c r="B79" s="146" t="s">
        <v>254</v>
      </c>
      <c r="C79" s="175"/>
      <c r="D79" s="108">
        <f t="shared" si="2"/>
        <v>0</v>
      </c>
      <c r="E79" s="117">
        <f t="shared" si="3"/>
        <v>0</v>
      </c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</row>
    <row r="80" spans="1:32" ht="16.5" hidden="1" thickBot="1" x14ac:dyDescent="0.3">
      <c r="A80" s="145" t="s">
        <v>77</v>
      </c>
      <c r="B80" s="146" t="s">
        <v>255</v>
      </c>
      <c r="C80" s="175"/>
      <c r="D80" s="108">
        <f t="shared" si="2"/>
        <v>0</v>
      </c>
      <c r="E80" s="117">
        <f t="shared" si="3"/>
        <v>0</v>
      </c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</row>
    <row r="81" spans="1:32" ht="16.5" hidden="1" thickBot="1" x14ac:dyDescent="0.3">
      <c r="A81" s="145" t="s">
        <v>78</v>
      </c>
      <c r="B81" s="146" t="s">
        <v>256</v>
      </c>
      <c r="C81" s="175"/>
      <c r="D81" s="108">
        <f t="shared" si="2"/>
        <v>0</v>
      </c>
      <c r="E81" s="117">
        <f t="shared" si="3"/>
        <v>0</v>
      </c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</row>
    <row r="82" spans="1:32" ht="16.5" hidden="1" thickBot="1" x14ac:dyDescent="0.3">
      <c r="A82" s="145" t="s">
        <v>79</v>
      </c>
      <c r="B82" s="146" t="s">
        <v>257</v>
      </c>
      <c r="C82" s="175"/>
      <c r="D82" s="108">
        <f t="shared" si="2"/>
        <v>0</v>
      </c>
      <c r="E82" s="117">
        <f t="shared" si="3"/>
        <v>0</v>
      </c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</row>
    <row r="83" spans="1:32" ht="16.5" hidden="1" thickBot="1" x14ac:dyDescent="0.3">
      <c r="A83" s="145" t="s">
        <v>80</v>
      </c>
      <c r="B83" s="146" t="s">
        <v>258</v>
      </c>
      <c r="C83" s="175"/>
      <c r="D83" s="108">
        <f t="shared" si="2"/>
        <v>0</v>
      </c>
      <c r="E83" s="117">
        <f t="shared" si="3"/>
        <v>0</v>
      </c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</row>
    <row r="84" spans="1:32" ht="16.5" hidden="1" thickBot="1" x14ac:dyDescent="0.3">
      <c r="A84" s="145" t="s">
        <v>81</v>
      </c>
      <c r="B84" s="146" t="s">
        <v>259</v>
      </c>
      <c r="C84" s="175"/>
      <c r="D84" s="108">
        <f t="shared" si="2"/>
        <v>0</v>
      </c>
      <c r="E84" s="117">
        <f t="shared" si="3"/>
        <v>0</v>
      </c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</row>
    <row r="85" spans="1:32" ht="16.5" hidden="1" thickBot="1" x14ac:dyDescent="0.3">
      <c r="A85" s="145" t="s">
        <v>82</v>
      </c>
      <c r="B85" s="146" t="s">
        <v>260</v>
      </c>
      <c r="C85" s="175"/>
      <c r="D85" s="108">
        <f t="shared" si="2"/>
        <v>0</v>
      </c>
      <c r="E85" s="117">
        <f t="shared" si="3"/>
        <v>0</v>
      </c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</row>
    <row r="86" spans="1:32" ht="16.5" hidden="1" thickBot="1" x14ac:dyDescent="0.3">
      <c r="A86" s="145" t="s">
        <v>83</v>
      </c>
      <c r="B86" s="146" t="s">
        <v>261</v>
      </c>
      <c r="C86" s="175"/>
      <c r="D86" s="108">
        <f t="shared" si="2"/>
        <v>0</v>
      </c>
      <c r="E86" s="117">
        <f t="shared" si="3"/>
        <v>0</v>
      </c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</row>
    <row r="87" spans="1:32" ht="16.5" hidden="1" thickBot="1" x14ac:dyDescent="0.3">
      <c r="A87" s="145" t="s">
        <v>84</v>
      </c>
      <c r="B87" s="147" t="s">
        <v>262</v>
      </c>
      <c r="C87" s="175"/>
      <c r="D87" s="108">
        <f t="shared" si="2"/>
        <v>0</v>
      </c>
      <c r="E87" s="117">
        <f t="shared" si="3"/>
        <v>0</v>
      </c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</row>
    <row r="88" spans="1:32" ht="16.5" hidden="1" thickBot="1" x14ac:dyDescent="0.3">
      <c r="A88" s="145" t="s">
        <v>85</v>
      </c>
      <c r="B88" s="146" t="s">
        <v>263</v>
      </c>
      <c r="C88" s="175"/>
      <c r="D88" s="108">
        <f t="shared" si="2"/>
        <v>0</v>
      </c>
      <c r="E88" s="117">
        <f t="shared" si="3"/>
        <v>0</v>
      </c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</row>
    <row r="89" spans="1:32" ht="16.5" hidden="1" thickBot="1" x14ac:dyDescent="0.3">
      <c r="A89" s="145" t="s">
        <v>86</v>
      </c>
      <c r="B89" s="146" t="s">
        <v>264</v>
      </c>
      <c r="C89" s="175"/>
      <c r="D89" s="108">
        <f t="shared" si="2"/>
        <v>0</v>
      </c>
      <c r="E89" s="117">
        <f t="shared" si="3"/>
        <v>0</v>
      </c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</row>
    <row r="90" spans="1:32" ht="16.5" hidden="1" thickBot="1" x14ac:dyDescent="0.3">
      <c r="A90" s="145" t="s">
        <v>87</v>
      </c>
      <c r="B90" s="146" t="s">
        <v>265</v>
      </c>
      <c r="C90" s="175"/>
      <c r="D90" s="108">
        <f t="shared" si="2"/>
        <v>0</v>
      </c>
      <c r="E90" s="117">
        <f t="shared" si="3"/>
        <v>0</v>
      </c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</row>
    <row r="91" spans="1:32" ht="16.5" hidden="1" thickBot="1" x14ac:dyDescent="0.3">
      <c r="A91" s="145" t="s">
        <v>88</v>
      </c>
      <c r="B91" s="146" t="s">
        <v>266</v>
      </c>
      <c r="C91" s="175"/>
      <c r="D91" s="108">
        <f t="shared" si="2"/>
        <v>0</v>
      </c>
      <c r="E91" s="117">
        <f t="shared" si="3"/>
        <v>0</v>
      </c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</row>
    <row r="92" spans="1:32" ht="16.5" hidden="1" thickBot="1" x14ac:dyDescent="0.3">
      <c r="A92" s="145" t="s">
        <v>89</v>
      </c>
      <c r="B92" s="146" t="s">
        <v>267</v>
      </c>
      <c r="C92" s="175"/>
      <c r="D92" s="108">
        <f t="shared" si="2"/>
        <v>0</v>
      </c>
      <c r="E92" s="117">
        <f t="shared" si="3"/>
        <v>0</v>
      </c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</row>
    <row r="93" spans="1:32" ht="16.5" hidden="1" thickBot="1" x14ac:dyDescent="0.3">
      <c r="A93" s="145" t="s">
        <v>90</v>
      </c>
      <c r="B93" s="146" t="s">
        <v>268</v>
      </c>
      <c r="C93" s="175"/>
      <c r="D93" s="108">
        <f t="shared" si="2"/>
        <v>0</v>
      </c>
      <c r="E93" s="117">
        <f t="shared" si="3"/>
        <v>0</v>
      </c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</row>
    <row r="94" spans="1:32" ht="16.5" hidden="1" thickBot="1" x14ac:dyDescent="0.3">
      <c r="A94" s="145" t="s">
        <v>91</v>
      </c>
      <c r="B94" s="146" t="s">
        <v>269</v>
      </c>
      <c r="C94" s="175"/>
      <c r="D94" s="108">
        <f t="shared" si="2"/>
        <v>0</v>
      </c>
      <c r="E94" s="117">
        <f t="shared" si="3"/>
        <v>0</v>
      </c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</row>
    <row r="95" spans="1:32" ht="16.5" hidden="1" thickBot="1" x14ac:dyDescent="0.3">
      <c r="A95" s="145" t="s">
        <v>92</v>
      </c>
      <c r="B95" s="146" t="s">
        <v>270</v>
      </c>
      <c r="C95" s="175"/>
      <c r="D95" s="108">
        <f t="shared" si="2"/>
        <v>0</v>
      </c>
      <c r="E95" s="117">
        <f t="shared" si="3"/>
        <v>0</v>
      </c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</row>
    <row r="96" spans="1:32" ht="16.5" hidden="1" thickBot="1" x14ac:dyDescent="0.3">
      <c r="A96" s="145" t="s">
        <v>93</v>
      </c>
      <c r="B96" s="146" t="s">
        <v>271</v>
      </c>
      <c r="C96" s="175"/>
      <c r="D96" s="108">
        <f t="shared" si="2"/>
        <v>0</v>
      </c>
      <c r="E96" s="117">
        <f t="shared" si="3"/>
        <v>0</v>
      </c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</row>
    <row r="97" spans="1:32" ht="16.5" thickBot="1" x14ac:dyDescent="0.3">
      <c r="A97" s="145" t="s">
        <v>94</v>
      </c>
      <c r="B97" s="146" t="s">
        <v>272</v>
      </c>
      <c r="C97" s="175">
        <v>24416</v>
      </c>
      <c r="D97" s="108">
        <f t="shared" si="2"/>
        <v>24416</v>
      </c>
      <c r="E97" s="117">
        <f t="shared" si="3"/>
        <v>0</v>
      </c>
      <c r="J97" s="124"/>
      <c r="K97" s="124"/>
      <c r="L97" s="124"/>
      <c r="M97" s="124"/>
      <c r="N97" s="124">
        <f>8107+4077</f>
        <v>12184</v>
      </c>
      <c r="O97" s="124"/>
      <c r="P97" s="124">
        <v>3957</v>
      </c>
      <c r="Q97" s="124">
        <v>2951</v>
      </c>
      <c r="R97" s="124"/>
      <c r="S97" s="124">
        <v>5204</v>
      </c>
      <c r="T97" s="124"/>
      <c r="U97" s="124"/>
      <c r="V97" s="124"/>
      <c r="W97" s="124"/>
      <c r="X97" s="124"/>
      <c r="Y97" s="124">
        <v>120</v>
      </c>
      <c r="Z97" s="124"/>
      <c r="AA97" s="124"/>
      <c r="AB97" s="124"/>
      <c r="AC97" s="124"/>
      <c r="AD97" s="124"/>
      <c r="AE97" s="124"/>
      <c r="AF97" s="124"/>
    </row>
    <row r="98" spans="1:32" ht="16.5" hidden="1" thickBot="1" x14ac:dyDescent="0.3">
      <c r="A98" s="145" t="s">
        <v>95</v>
      </c>
      <c r="B98" s="146" t="s">
        <v>273</v>
      </c>
      <c r="C98" s="175"/>
      <c r="D98" s="108">
        <f t="shared" si="2"/>
        <v>0</v>
      </c>
      <c r="E98" s="117">
        <f t="shared" si="3"/>
        <v>0</v>
      </c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</row>
    <row r="99" spans="1:32" ht="16.5" hidden="1" thickBot="1" x14ac:dyDescent="0.3">
      <c r="A99" s="145" t="s">
        <v>96</v>
      </c>
      <c r="B99" s="146" t="s">
        <v>274</v>
      </c>
      <c r="C99" s="175"/>
      <c r="D99" s="108">
        <f t="shared" si="2"/>
        <v>0</v>
      </c>
      <c r="E99" s="117">
        <f t="shared" si="3"/>
        <v>0</v>
      </c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</row>
    <row r="100" spans="1:32" ht="16.5" thickBot="1" x14ac:dyDescent="0.3">
      <c r="A100" s="145" t="s">
        <v>97</v>
      </c>
      <c r="B100" s="146" t="s">
        <v>275</v>
      </c>
      <c r="C100" s="175">
        <v>33034</v>
      </c>
      <c r="D100" s="108">
        <f t="shared" si="2"/>
        <v>33034</v>
      </c>
      <c r="E100" s="117">
        <f t="shared" si="3"/>
        <v>0</v>
      </c>
      <c r="J100" s="124"/>
      <c r="K100" s="124"/>
      <c r="L100" s="124">
        <v>5374</v>
      </c>
      <c r="M100" s="124"/>
      <c r="N100" s="124">
        <v>7560</v>
      </c>
      <c r="O100" s="124"/>
      <c r="P100" s="124">
        <v>5034</v>
      </c>
      <c r="Q100" s="124"/>
      <c r="R100" s="124">
        <v>5180</v>
      </c>
      <c r="S100" s="124"/>
      <c r="T100" s="124"/>
      <c r="U100" s="124"/>
      <c r="V100" s="124">
        <f>7132+2754</f>
        <v>9886</v>
      </c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</row>
    <row r="101" spans="1:32" ht="16.5" hidden="1" thickBot="1" x14ac:dyDescent="0.3">
      <c r="A101" s="145" t="s">
        <v>98</v>
      </c>
      <c r="B101" s="146" t="s">
        <v>276</v>
      </c>
      <c r="C101" s="175"/>
      <c r="D101" s="108">
        <f t="shared" si="2"/>
        <v>0</v>
      </c>
      <c r="E101" s="117">
        <f t="shared" si="3"/>
        <v>0</v>
      </c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</row>
    <row r="102" spans="1:32" ht="16.5" hidden="1" thickBot="1" x14ac:dyDescent="0.3">
      <c r="A102" s="145" t="s">
        <v>99</v>
      </c>
      <c r="B102" s="146" t="s">
        <v>277</v>
      </c>
      <c r="C102" s="175"/>
      <c r="D102" s="108">
        <f t="shared" si="2"/>
        <v>0</v>
      </c>
      <c r="E102" s="117">
        <f t="shared" si="3"/>
        <v>0</v>
      </c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</row>
    <row r="103" spans="1:32" ht="16.5" hidden="1" thickBot="1" x14ac:dyDescent="0.3">
      <c r="A103" s="145" t="s">
        <v>100</v>
      </c>
      <c r="B103" s="146" t="s">
        <v>278</v>
      </c>
      <c r="C103" s="175"/>
      <c r="D103" s="108">
        <f t="shared" si="2"/>
        <v>0</v>
      </c>
      <c r="E103" s="117">
        <f t="shared" si="3"/>
        <v>0</v>
      </c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</row>
    <row r="104" spans="1:32" ht="16.5" hidden="1" thickBot="1" x14ac:dyDescent="0.3">
      <c r="A104" s="145" t="s">
        <v>101</v>
      </c>
      <c r="B104" s="146" t="s">
        <v>279</v>
      </c>
      <c r="C104" s="175"/>
      <c r="D104" s="108">
        <f t="shared" si="2"/>
        <v>0</v>
      </c>
      <c r="E104" s="117">
        <f t="shared" si="3"/>
        <v>0</v>
      </c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</row>
    <row r="105" spans="1:32" ht="16.5" hidden="1" thickBot="1" x14ac:dyDescent="0.3">
      <c r="A105" s="145" t="s">
        <v>102</v>
      </c>
      <c r="B105" s="146" t="s">
        <v>280</v>
      </c>
      <c r="C105" s="175"/>
      <c r="D105" s="108">
        <f t="shared" si="2"/>
        <v>0</v>
      </c>
      <c r="E105" s="117">
        <f t="shared" si="3"/>
        <v>0</v>
      </c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</row>
    <row r="106" spans="1:32" ht="16.5" hidden="1" thickBot="1" x14ac:dyDescent="0.3">
      <c r="A106" s="145" t="s">
        <v>103</v>
      </c>
      <c r="B106" s="146" t="s">
        <v>281</v>
      </c>
      <c r="C106" s="175"/>
      <c r="D106" s="108">
        <f t="shared" si="2"/>
        <v>0</v>
      </c>
      <c r="E106" s="117">
        <f t="shared" si="3"/>
        <v>0</v>
      </c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</row>
    <row r="107" spans="1:32" ht="16.5" hidden="1" thickBot="1" x14ac:dyDescent="0.3">
      <c r="A107" s="145" t="s">
        <v>104</v>
      </c>
      <c r="B107" s="146" t="s">
        <v>409</v>
      </c>
      <c r="C107" s="175"/>
      <c r="D107" s="108">
        <f t="shared" si="2"/>
        <v>0</v>
      </c>
      <c r="E107" s="117">
        <f t="shared" si="3"/>
        <v>0</v>
      </c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</row>
    <row r="108" spans="1:32" ht="16.5" hidden="1" thickBot="1" x14ac:dyDescent="0.3">
      <c r="A108" s="145" t="s">
        <v>105</v>
      </c>
      <c r="B108" s="146" t="s">
        <v>283</v>
      </c>
      <c r="C108" s="175"/>
      <c r="D108" s="108">
        <f t="shared" si="2"/>
        <v>0</v>
      </c>
      <c r="E108" s="117">
        <f t="shared" si="3"/>
        <v>0</v>
      </c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</row>
    <row r="109" spans="1:32" ht="16.5" hidden="1" thickBot="1" x14ac:dyDescent="0.3">
      <c r="A109" s="145" t="s">
        <v>106</v>
      </c>
      <c r="B109" s="146" t="s">
        <v>284</v>
      </c>
      <c r="C109" s="175"/>
      <c r="D109" s="108">
        <f t="shared" si="2"/>
        <v>0</v>
      </c>
      <c r="E109" s="117">
        <f t="shared" si="3"/>
        <v>0</v>
      </c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</row>
    <row r="110" spans="1:32" ht="16.5" hidden="1" thickBot="1" x14ac:dyDescent="0.3">
      <c r="A110" s="145" t="s">
        <v>107</v>
      </c>
      <c r="B110" s="146" t="s">
        <v>285</v>
      </c>
      <c r="C110" s="175"/>
      <c r="D110" s="108">
        <f t="shared" si="2"/>
        <v>0</v>
      </c>
      <c r="E110" s="117">
        <f t="shared" si="3"/>
        <v>0</v>
      </c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</row>
    <row r="111" spans="1:32" ht="16.5" hidden="1" thickBot="1" x14ac:dyDescent="0.3">
      <c r="A111" s="145" t="s">
        <v>108</v>
      </c>
      <c r="B111" s="146" t="s">
        <v>286</v>
      </c>
      <c r="C111" s="175"/>
      <c r="D111" s="108">
        <f t="shared" si="2"/>
        <v>0</v>
      </c>
      <c r="E111" s="117">
        <f t="shared" si="3"/>
        <v>0</v>
      </c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</row>
    <row r="112" spans="1:32" ht="16.5" hidden="1" thickBot="1" x14ac:dyDescent="0.3">
      <c r="A112" s="145" t="s">
        <v>109</v>
      </c>
      <c r="B112" s="146" t="s">
        <v>287</v>
      </c>
      <c r="C112" s="175"/>
      <c r="D112" s="108">
        <f t="shared" si="2"/>
        <v>0</v>
      </c>
      <c r="E112" s="117">
        <f t="shared" si="3"/>
        <v>0</v>
      </c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</row>
    <row r="113" spans="1:32" ht="16.5" hidden="1" thickBot="1" x14ac:dyDescent="0.3">
      <c r="A113" s="145" t="s">
        <v>110</v>
      </c>
      <c r="B113" s="146" t="s">
        <v>288</v>
      </c>
      <c r="C113" s="175"/>
      <c r="D113" s="108">
        <f t="shared" si="2"/>
        <v>0</v>
      </c>
      <c r="E113" s="117">
        <f t="shared" si="3"/>
        <v>0</v>
      </c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</row>
    <row r="114" spans="1:32" ht="16.5" hidden="1" thickBot="1" x14ac:dyDescent="0.3">
      <c r="A114" s="145" t="s">
        <v>111</v>
      </c>
      <c r="B114" s="146" t="s">
        <v>289</v>
      </c>
      <c r="C114" s="175"/>
      <c r="D114" s="108">
        <f t="shared" si="2"/>
        <v>0</v>
      </c>
      <c r="E114" s="117">
        <f t="shared" si="3"/>
        <v>0</v>
      </c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</row>
    <row r="115" spans="1:32" ht="16.5" hidden="1" thickBot="1" x14ac:dyDescent="0.3">
      <c r="A115" s="145" t="s">
        <v>112</v>
      </c>
      <c r="B115" s="146" t="s">
        <v>290</v>
      </c>
      <c r="C115" s="175"/>
      <c r="D115" s="108">
        <f t="shared" si="2"/>
        <v>0</v>
      </c>
      <c r="E115" s="117">
        <f t="shared" si="3"/>
        <v>0</v>
      </c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</row>
    <row r="116" spans="1:32" ht="16.5" hidden="1" thickBot="1" x14ac:dyDescent="0.3">
      <c r="A116" s="145" t="s">
        <v>113</v>
      </c>
      <c r="B116" s="146" t="s">
        <v>291</v>
      </c>
      <c r="C116" s="175"/>
      <c r="D116" s="108">
        <f t="shared" si="2"/>
        <v>0</v>
      </c>
      <c r="E116" s="117">
        <f t="shared" si="3"/>
        <v>0</v>
      </c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</row>
    <row r="117" spans="1:32" ht="16.5" hidden="1" thickBot="1" x14ac:dyDescent="0.3">
      <c r="A117" s="145" t="s">
        <v>114</v>
      </c>
      <c r="B117" s="146" t="s">
        <v>292</v>
      </c>
      <c r="C117" s="175"/>
      <c r="D117" s="108">
        <f t="shared" si="2"/>
        <v>0</v>
      </c>
      <c r="E117" s="117">
        <f t="shared" si="3"/>
        <v>0</v>
      </c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</row>
    <row r="118" spans="1:32" ht="16.5" thickBot="1" x14ac:dyDescent="0.3">
      <c r="A118" s="145" t="s">
        <v>115</v>
      </c>
      <c r="B118" s="146" t="s">
        <v>293</v>
      </c>
      <c r="C118" s="175">
        <v>31967</v>
      </c>
      <c r="D118" s="108">
        <f t="shared" si="2"/>
        <v>31967</v>
      </c>
      <c r="E118" s="117">
        <f t="shared" si="3"/>
        <v>0</v>
      </c>
      <c r="J118" s="124"/>
      <c r="K118" s="124"/>
      <c r="L118" s="124"/>
      <c r="M118" s="124">
        <v>1197</v>
      </c>
      <c r="N118" s="124"/>
      <c r="O118" s="124">
        <v>13082</v>
      </c>
      <c r="P118" s="124"/>
      <c r="Q118" s="124">
        <v>13281</v>
      </c>
      <c r="R118" s="124"/>
      <c r="S118" s="124"/>
      <c r="T118" s="124"/>
      <c r="U118" s="124"/>
      <c r="V118" s="124"/>
      <c r="W118" s="124">
        <v>2773</v>
      </c>
      <c r="X118" s="124">
        <v>1387</v>
      </c>
      <c r="Y118" s="124">
        <v>247</v>
      </c>
      <c r="Z118" s="124"/>
      <c r="AA118" s="124"/>
      <c r="AB118" s="124"/>
      <c r="AC118" s="124"/>
      <c r="AD118" s="124"/>
      <c r="AE118" s="124"/>
      <c r="AF118" s="124"/>
    </row>
    <row r="119" spans="1:32" ht="16.5" hidden="1" thickBot="1" x14ac:dyDescent="0.3">
      <c r="A119" s="145" t="s">
        <v>116</v>
      </c>
      <c r="B119" s="146" t="s">
        <v>294</v>
      </c>
      <c r="C119" s="175"/>
      <c r="D119" s="108">
        <f t="shared" si="2"/>
        <v>0</v>
      </c>
      <c r="E119" s="117">
        <f t="shared" si="3"/>
        <v>0</v>
      </c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</row>
    <row r="120" spans="1:32" ht="16.5" hidden="1" thickBot="1" x14ac:dyDescent="0.3">
      <c r="A120" s="145" t="s">
        <v>117</v>
      </c>
      <c r="B120" s="146" t="s">
        <v>295</v>
      </c>
      <c r="C120" s="175"/>
      <c r="D120" s="108">
        <f t="shared" si="2"/>
        <v>0</v>
      </c>
      <c r="E120" s="117">
        <f t="shared" si="3"/>
        <v>0</v>
      </c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</row>
    <row r="121" spans="1:32" ht="16.5" hidden="1" thickBot="1" x14ac:dyDescent="0.3">
      <c r="A121" s="145" t="s">
        <v>118</v>
      </c>
      <c r="B121" s="146" t="s">
        <v>296</v>
      </c>
      <c r="C121" s="175"/>
      <c r="D121" s="108">
        <f t="shared" si="2"/>
        <v>0</v>
      </c>
      <c r="E121" s="117">
        <f t="shared" si="3"/>
        <v>0</v>
      </c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</row>
    <row r="122" spans="1:32" ht="16.5" hidden="1" thickBot="1" x14ac:dyDescent="0.3">
      <c r="A122" s="145" t="s">
        <v>119</v>
      </c>
      <c r="B122" s="146" t="s">
        <v>297</v>
      </c>
      <c r="C122" s="175"/>
      <c r="D122" s="108">
        <f t="shared" si="2"/>
        <v>0</v>
      </c>
      <c r="E122" s="117">
        <f t="shared" si="3"/>
        <v>0</v>
      </c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</row>
    <row r="123" spans="1:32" ht="16.5" hidden="1" thickBot="1" x14ac:dyDescent="0.3">
      <c r="A123" s="145" t="s">
        <v>120</v>
      </c>
      <c r="B123" s="146" t="s">
        <v>298</v>
      </c>
      <c r="C123" s="175"/>
      <c r="D123" s="108">
        <f t="shared" si="2"/>
        <v>0</v>
      </c>
      <c r="E123" s="117">
        <f t="shared" si="3"/>
        <v>0</v>
      </c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</row>
    <row r="124" spans="1:32" ht="16.5" hidden="1" thickBot="1" x14ac:dyDescent="0.3">
      <c r="A124" s="145" t="s">
        <v>121</v>
      </c>
      <c r="B124" s="146" t="s">
        <v>299</v>
      </c>
      <c r="C124" s="175"/>
      <c r="D124" s="108">
        <f t="shared" si="2"/>
        <v>0</v>
      </c>
      <c r="E124" s="117">
        <f t="shared" si="3"/>
        <v>0</v>
      </c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</row>
    <row r="125" spans="1:32" ht="16.5" hidden="1" thickBot="1" x14ac:dyDescent="0.3">
      <c r="A125" s="145" t="s">
        <v>122</v>
      </c>
      <c r="B125" s="146" t="s">
        <v>300</v>
      </c>
      <c r="C125" s="175"/>
      <c r="D125" s="108">
        <f t="shared" si="2"/>
        <v>0</v>
      </c>
      <c r="E125" s="117">
        <f t="shared" si="3"/>
        <v>0</v>
      </c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</row>
    <row r="126" spans="1:32" ht="16.5" hidden="1" thickBot="1" x14ac:dyDescent="0.3">
      <c r="A126" s="145" t="s">
        <v>123</v>
      </c>
      <c r="B126" s="146" t="s">
        <v>301</v>
      </c>
      <c r="C126" s="175"/>
      <c r="D126" s="108">
        <f t="shared" si="2"/>
        <v>0</v>
      </c>
      <c r="E126" s="117">
        <f t="shared" si="3"/>
        <v>0</v>
      </c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</row>
    <row r="127" spans="1:32" ht="16.5" hidden="1" thickBot="1" x14ac:dyDescent="0.3">
      <c r="A127" s="145" t="s">
        <v>124</v>
      </c>
      <c r="B127" s="146" t="s">
        <v>302</v>
      </c>
      <c r="C127" s="175"/>
      <c r="D127" s="108">
        <f t="shared" si="2"/>
        <v>0</v>
      </c>
      <c r="E127" s="117">
        <f t="shared" si="3"/>
        <v>0</v>
      </c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</row>
    <row r="128" spans="1:32" ht="16.5" hidden="1" thickBot="1" x14ac:dyDescent="0.3">
      <c r="A128" s="145" t="s">
        <v>125</v>
      </c>
      <c r="B128" s="146" t="s">
        <v>303</v>
      </c>
      <c r="C128" s="175"/>
      <c r="D128" s="108">
        <f t="shared" si="2"/>
        <v>0</v>
      </c>
      <c r="E128" s="117">
        <f t="shared" si="3"/>
        <v>0</v>
      </c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</row>
    <row r="129" spans="1:32" ht="16.5" hidden="1" thickBot="1" x14ac:dyDescent="0.3">
      <c r="A129" s="145" t="s">
        <v>126</v>
      </c>
      <c r="B129" s="146" t="s">
        <v>304</v>
      </c>
      <c r="C129" s="175"/>
      <c r="D129" s="108">
        <f t="shared" si="2"/>
        <v>0</v>
      </c>
      <c r="E129" s="117">
        <f t="shared" si="3"/>
        <v>0</v>
      </c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</row>
    <row r="130" spans="1:32" ht="16.5" hidden="1" thickBot="1" x14ac:dyDescent="0.3">
      <c r="A130" s="145" t="s">
        <v>127</v>
      </c>
      <c r="B130" s="146" t="s">
        <v>305</v>
      </c>
      <c r="C130" s="175"/>
      <c r="D130" s="108">
        <f t="shared" si="2"/>
        <v>0</v>
      </c>
      <c r="E130" s="117">
        <f t="shared" si="3"/>
        <v>0</v>
      </c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</row>
    <row r="131" spans="1:32" ht="16.5" hidden="1" thickBot="1" x14ac:dyDescent="0.3">
      <c r="A131" s="145" t="s">
        <v>128</v>
      </c>
      <c r="B131" s="146" t="s">
        <v>306</v>
      </c>
      <c r="C131" s="175"/>
      <c r="D131" s="108">
        <f t="shared" si="2"/>
        <v>0</v>
      </c>
      <c r="E131" s="117">
        <f t="shared" si="3"/>
        <v>0</v>
      </c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</row>
    <row r="132" spans="1:32" ht="16.5" hidden="1" thickBot="1" x14ac:dyDescent="0.3">
      <c r="A132" s="145" t="s">
        <v>129</v>
      </c>
      <c r="B132" s="146" t="s">
        <v>307</v>
      </c>
      <c r="C132" s="175"/>
      <c r="D132" s="108">
        <f t="shared" si="2"/>
        <v>0</v>
      </c>
      <c r="E132" s="117">
        <f t="shared" si="3"/>
        <v>0</v>
      </c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</row>
    <row r="133" spans="1:32" ht="16.5" hidden="1" thickBot="1" x14ac:dyDescent="0.3">
      <c r="A133" s="145" t="s">
        <v>130</v>
      </c>
      <c r="B133" s="146" t="s">
        <v>308</v>
      </c>
      <c r="C133" s="175"/>
      <c r="D133" s="108">
        <f t="shared" si="2"/>
        <v>0</v>
      </c>
      <c r="E133" s="117">
        <f t="shared" si="3"/>
        <v>0</v>
      </c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</row>
    <row r="134" spans="1:32" ht="16.5" hidden="1" thickBot="1" x14ac:dyDescent="0.3">
      <c r="A134" s="145" t="s">
        <v>131</v>
      </c>
      <c r="B134" s="146" t="s">
        <v>309</v>
      </c>
      <c r="C134" s="175"/>
      <c r="D134" s="108">
        <f t="shared" si="2"/>
        <v>0</v>
      </c>
      <c r="E134" s="117">
        <f t="shared" si="3"/>
        <v>0</v>
      </c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</row>
    <row r="135" spans="1:32" ht="16.5" hidden="1" thickBot="1" x14ac:dyDescent="0.3">
      <c r="A135" s="145" t="s">
        <v>132</v>
      </c>
      <c r="B135" s="146" t="s">
        <v>310</v>
      </c>
      <c r="C135" s="175"/>
      <c r="D135" s="108">
        <f t="shared" si="2"/>
        <v>0</v>
      </c>
      <c r="E135" s="117">
        <f t="shared" si="3"/>
        <v>0</v>
      </c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</row>
    <row r="136" spans="1:32" ht="16.5" hidden="1" thickBot="1" x14ac:dyDescent="0.3">
      <c r="A136" s="145" t="s">
        <v>133</v>
      </c>
      <c r="B136" s="146" t="s">
        <v>311</v>
      </c>
      <c r="C136" s="175"/>
      <c r="D136" s="108">
        <f t="shared" si="2"/>
        <v>0</v>
      </c>
      <c r="E136" s="117">
        <f t="shared" si="3"/>
        <v>0</v>
      </c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</row>
    <row r="137" spans="1:32" ht="16.5" hidden="1" thickBot="1" x14ac:dyDescent="0.3">
      <c r="A137" s="145" t="s">
        <v>134</v>
      </c>
      <c r="B137" s="146" t="s">
        <v>312</v>
      </c>
      <c r="C137" s="175"/>
      <c r="D137" s="108">
        <f t="shared" si="2"/>
        <v>0</v>
      </c>
      <c r="E137" s="117">
        <f t="shared" si="3"/>
        <v>0</v>
      </c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</row>
    <row r="138" spans="1:32" ht="16.5" hidden="1" thickBot="1" x14ac:dyDescent="0.3">
      <c r="A138" s="145" t="s">
        <v>135</v>
      </c>
      <c r="B138" s="146" t="s">
        <v>313</v>
      </c>
      <c r="C138" s="175"/>
      <c r="D138" s="108">
        <f t="shared" si="2"/>
        <v>0</v>
      </c>
      <c r="E138" s="117">
        <f t="shared" si="3"/>
        <v>0</v>
      </c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</row>
    <row r="139" spans="1:32" ht="16.5" hidden="1" thickBot="1" x14ac:dyDescent="0.3">
      <c r="A139" s="145" t="s">
        <v>136</v>
      </c>
      <c r="B139" s="146" t="s">
        <v>314</v>
      </c>
      <c r="C139" s="175"/>
      <c r="D139" s="108">
        <f t="shared" si="2"/>
        <v>0</v>
      </c>
      <c r="E139" s="117">
        <f t="shared" si="3"/>
        <v>0</v>
      </c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</row>
    <row r="140" spans="1:32" ht="16.5" hidden="1" thickBot="1" x14ac:dyDescent="0.3">
      <c r="A140" s="145" t="s">
        <v>137</v>
      </c>
      <c r="B140" s="146" t="s">
        <v>315</v>
      </c>
      <c r="C140" s="175"/>
      <c r="D140" s="108">
        <f t="shared" ref="D140:D195" si="4">SUM(F140:AF140)</f>
        <v>0</v>
      </c>
      <c r="E140" s="117">
        <f t="shared" ref="E140:E195" si="5">C140-D140</f>
        <v>0</v>
      </c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</row>
    <row r="141" spans="1:32" ht="16.5" hidden="1" thickBot="1" x14ac:dyDescent="0.3">
      <c r="A141" s="145" t="s">
        <v>138</v>
      </c>
      <c r="B141" s="146" t="s">
        <v>316</v>
      </c>
      <c r="C141" s="175"/>
      <c r="D141" s="108">
        <f t="shared" si="4"/>
        <v>0</v>
      </c>
      <c r="E141" s="117">
        <f t="shared" si="5"/>
        <v>0</v>
      </c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</row>
    <row r="142" spans="1:32" ht="16.5" hidden="1" thickBot="1" x14ac:dyDescent="0.3">
      <c r="A142" s="145" t="s">
        <v>139</v>
      </c>
      <c r="B142" s="146" t="s">
        <v>398</v>
      </c>
      <c r="C142" s="175"/>
      <c r="D142" s="108">
        <f t="shared" si="4"/>
        <v>0</v>
      </c>
      <c r="E142" s="117">
        <f t="shared" si="5"/>
        <v>0</v>
      </c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</row>
    <row r="143" spans="1:32" ht="16.5" hidden="1" thickBot="1" x14ac:dyDescent="0.3">
      <c r="A143" s="145" t="s">
        <v>140</v>
      </c>
      <c r="B143" s="146" t="s">
        <v>318</v>
      </c>
      <c r="C143" s="175"/>
      <c r="D143" s="108">
        <f t="shared" si="4"/>
        <v>0</v>
      </c>
      <c r="E143" s="117">
        <f t="shared" si="5"/>
        <v>0</v>
      </c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</row>
    <row r="144" spans="1:32" ht="16.5" hidden="1" thickBot="1" x14ac:dyDescent="0.3">
      <c r="A144" s="145" t="s">
        <v>141</v>
      </c>
      <c r="B144" s="146" t="s">
        <v>319</v>
      </c>
      <c r="C144" s="175"/>
      <c r="D144" s="108">
        <f t="shared" si="4"/>
        <v>0</v>
      </c>
      <c r="E144" s="117">
        <f t="shared" si="5"/>
        <v>0</v>
      </c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</row>
    <row r="145" spans="1:32" ht="16.5" hidden="1" thickBot="1" x14ac:dyDescent="0.3">
      <c r="A145" s="145" t="s">
        <v>142</v>
      </c>
      <c r="B145" s="146" t="s">
        <v>320</v>
      </c>
      <c r="C145" s="175"/>
      <c r="D145" s="108">
        <f t="shared" si="4"/>
        <v>0</v>
      </c>
      <c r="E145" s="117">
        <f t="shared" si="5"/>
        <v>0</v>
      </c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</row>
    <row r="146" spans="1:32" ht="16.5" hidden="1" thickBot="1" x14ac:dyDescent="0.3">
      <c r="A146" s="145" t="s">
        <v>143</v>
      </c>
      <c r="B146" s="146" t="s">
        <v>321</v>
      </c>
      <c r="C146" s="175"/>
      <c r="D146" s="108">
        <f t="shared" si="4"/>
        <v>0</v>
      </c>
      <c r="E146" s="117">
        <f t="shared" si="5"/>
        <v>0</v>
      </c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</row>
    <row r="147" spans="1:32" ht="16.5" thickBot="1" x14ac:dyDescent="0.3">
      <c r="A147" s="145" t="s">
        <v>144</v>
      </c>
      <c r="B147" s="146" t="s">
        <v>322</v>
      </c>
      <c r="C147" s="175">
        <v>140494</v>
      </c>
      <c r="D147" s="108">
        <f t="shared" si="4"/>
        <v>140494</v>
      </c>
      <c r="E147" s="117">
        <f t="shared" si="5"/>
        <v>0</v>
      </c>
      <c r="J147" s="124"/>
      <c r="K147" s="124"/>
      <c r="L147" s="124"/>
      <c r="M147" s="124"/>
      <c r="N147" s="124">
        <v>41927</v>
      </c>
      <c r="O147" s="124"/>
      <c r="P147" s="124">
        <v>2731</v>
      </c>
      <c r="Q147" s="124">
        <v>35710</v>
      </c>
      <c r="R147" s="124">
        <v>2299</v>
      </c>
      <c r="S147" s="124">
        <v>43673</v>
      </c>
      <c r="T147" s="124"/>
      <c r="U147" s="124"/>
      <c r="V147" s="124"/>
      <c r="W147" s="124"/>
      <c r="X147" s="124"/>
      <c r="Y147" s="124">
        <v>14154</v>
      </c>
      <c r="Z147" s="124"/>
      <c r="AA147" s="124"/>
      <c r="AB147" s="124"/>
      <c r="AC147" s="124"/>
      <c r="AD147" s="124"/>
      <c r="AE147" s="124"/>
      <c r="AF147" s="124"/>
    </row>
    <row r="148" spans="1:32" ht="16.5" hidden="1" thickBot="1" x14ac:dyDescent="0.3">
      <c r="A148" s="145" t="s">
        <v>145</v>
      </c>
      <c r="B148" s="146" t="s">
        <v>323</v>
      </c>
      <c r="C148" s="175"/>
      <c r="D148" s="108">
        <f t="shared" si="4"/>
        <v>0</v>
      </c>
      <c r="E148" s="117">
        <f t="shared" si="5"/>
        <v>0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</row>
    <row r="149" spans="1:32" ht="16.5" hidden="1" thickBot="1" x14ac:dyDescent="0.3">
      <c r="A149" s="145" t="s">
        <v>146</v>
      </c>
      <c r="B149" s="146" t="s">
        <v>324</v>
      </c>
      <c r="C149" s="175"/>
      <c r="D149" s="108">
        <f t="shared" si="4"/>
        <v>0</v>
      </c>
      <c r="E149" s="117">
        <f t="shared" si="5"/>
        <v>0</v>
      </c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</row>
    <row r="150" spans="1:32" ht="16.5" hidden="1" thickBot="1" x14ac:dyDescent="0.3">
      <c r="A150" s="145" t="s">
        <v>147</v>
      </c>
      <c r="B150" s="146" t="s">
        <v>325</v>
      </c>
      <c r="C150" s="175"/>
      <c r="D150" s="108">
        <f t="shared" si="4"/>
        <v>0</v>
      </c>
      <c r="E150" s="117">
        <f t="shared" si="5"/>
        <v>0</v>
      </c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</row>
    <row r="151" spans="1:32" ht="16.5" hidden="1" thickBot="1" x14ac:dyDescent="0.3">
      <c r="A151" s="145" t="s">
        <v>148</v>
      </c>
      <c r="B151" s="146" t="s">
        <v>326</v>
      </c>
      <c r="C151" s="175"/>
      <c r="D151" s="108">
        <f t="shared" si="4"/>
        <v>0</v>
      </c>
      <c r="E151" s="117">
        <f t="shared" si="5"/>
        <v>0</v>
      </c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</row>
    <row r="152" spans="1:32" ht="16.5" hidden="1" thickBot="1" x14ac:dyDescent="0.3">
      <c r="A152" s="145" t="s">
        <v>149</v>
      </c>
      <c r="B152" s="146" t="s">
        <v>327</v>
      </c>
      <c r="C152" s="175"/>
      <c r="D152" s="108">
        <f t="shared" si="4"/>
        <v>0</v>
      </c>
      <c r="E152" s="117">
        <f t="shared" si="5"/>
        <v>0</v>
      </c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</row>
    <row r="153" spans="1:32" ht="16.5" hidden="1" thickBot="1" x14ac:dyDescent="0.3">
      <c r="A153" s="145" t="s">
        <v>150</v>
      </c>
      <c r="B153" s="146" t="s">
        <v>328</v>
      </c>
      <c r="C153" s="175"/>
      <c r="D153" s="108">
        <f t="shared" si="4"/>
        <v>0</v>
      </c>
      <c r="E153" s="117">
        <f t="shared" si="5"/>
        <v>0</v>
      </c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</row>
    <row r="154" spans="1:32" ht="16.5" hidden="1" thickBot="1" x14ac:dyDescent="0.3">
      <c r="A154" s="145" t="s">
        <v>151</v>
      </c>
      <c r="B154" s="146" t="s">
        <v>329</v>
      </c>
      <c r="C154" s="175"/>
      <c r="D154" s="108">
        <f t="shared" si="4"/>
        <v>0</v>
      </c>
      <c r="E154" s="117">
        <f t="shared" si="5"/>
        <v>0</v>
      </c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</row>
    <row r="155" spans="1:32" ht="16.5" hidden="1" thickBot="1" x14ac:dyDescent="0.3">
      <c r="A155" s="145" t="s">
        <v>152</v>
      </c>
      <c r="B155" s="146" t="s">
        <v>330</v>
      </c>
      <c r="C155" s="175"/>
      <c r="D155" s="108">
        <f t="shared" si="4"/>
        <v>0</v>
      </c>
      <c r="E155" s="117">
        <f t="shared" si="5"/>
        <v>0</v>
      </c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</row>
    <row r="156" spans="1:32" ht="16.5" hidden="1" thickBot="1" x14ac:dyDescent="0.3">
      <c r="A156" s="145" t="s">
        <v>153</v>
      </c>
      <c r="B156" s="146" t="s">
        <v>331</v>
      </c>
      <c r="C156" s="175"/>
      <c r="D156" s="108">
        <f t="shared" si="4"/>
        <v>0</v>
      </c>
      <c r="E156" s="117">
        <f t="shared" si="5"/>
        <v>0</v>
      </c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</row>
    <row r="157" spans="1:32" ht="16.5" hidden="1" thickBot="1" x14ac:dyDescent="0.3">
      <c r="A157" s="145" t="s">
        <v>154</v>
      </c>
      <c r="B157" s="146" t="s">
        <v>332</v>
      </c>
      <c r="C157" s="175"/>
      <c r="D157" s="108">
        <f t="shared" si="4"/>
        <v>0</v>
      </c>
      <c r="E157" s="117">
        <f t="shared" si="5"/>
        <v>0</v>
      </c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</row>
    <row r="158" spans="1:32" ht="16.5" hidden="1" thickBot="1" x14ac:dyDescent="0.3">
      <c r="A158" s="145" t="s">
        <v>155</v>
      </c>
      <c r="B158" s="146" t="s">
        <v>333</v>
      </c>
      <c r="C158" s="175"/>
      <c r="D158" s="108">
        <f t="shared" si="4"/>
        <v>0</v>
      </c>
      <c r="E158" s="117">
        <f t="shared" si="5"/>
        <v>0</v>
      </c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</row>
    <row r="159" spans="1:32" ht="16.5" hidden="1" thickBot="1" x14ac:dyDescent="0.3">
      <c r="A159" s="145" t="s">
        <v>156</v>
      </c>
      <c r="B159" s="146" t="s">
        <v>334</v>
      </c>
      <c r="C159" s="175"/>
      <c r="D159" s="108">
        <f t="shared" si="4"/>
        <v>0</v>
      </c>
      <c r="E159" s="117">
        <f t="shared" si="5"/>
        <v>0</v>
      </c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</row>
    <row r="160" spans="1:32" ht="16.5" hidden="1" thickBot="1" x14ac:dyDescent="0.3">
      <c r="A160" s="145" t="s">
        <v>157</v>
      </c>
      <c r="B160" s="146" t="s">
        <v>335</v>
      </c>
      <c r="C160" s="175"/>
      <c r="D160" s="108">
        <f t="shared" si="4"/>
        <v>0</v>
      </c>
      <c r="E160" s="117">
        <f t="shared" si="5"/>
        <v>0</v>
      </c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</row>
    <row r="161" spans="1:32" ht="16.5" hidden="1" thickBot="1" x14ac:dyDescent="0.3">
      <c r="A161" s="145" t="s">
        <v>158</v>
      </c>
      <c r="B161" s="146" t="s">
        <v>336</v>
      </c>
      <c r="C161" s="175"/>
      <c r="D161" s="108">
        <f t="shared" si="4"/>
        <v>0</v>
      </c>
      <c r="E161" s="117">
        <f t="shared" si="5"/>
        <v>0</v>
      </c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</row>
    <row r="162" spans="1:32" ht="16.5" hidden="1" thickBot="1" x14ac:dyDescent="0.3">
      <c r="A162" s="145" t="s">
        <v>159</v>
      </c>
      <c r="B162" s="146" t="s">
        <v>337</v>
      </c>
      <c r="C162" s="175"/>
      <c r="D162" s="108">
        <f t="shared" si="4"/>
        <v>0</v>
      </c>
      <c r="E162" s="117">
        <f t="shared" si="5"/>
        <v>0</v>
      </c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</row>
    <row r="163" spans="1:32" ht="16.5" hidden="1" thickBot="1" x14ac:dyDescent="0.3">
      <c r="A163" s="145" t="s">
        <v>160</v>
      </c>
      <c r="B163" s="146" t="s">
        <v>338</v>
      </c>
      <c r="C163" s="175"/>
      <c r="D163" s="108">
        <f t="shared" si="4"/>
        <v>0</v>
      </c>
      <c r="E163" s="117">
        <f t="shared" si="5"/>
        <v>0</v>
      </c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</row>
    <row r="164" spans="1:32" ht="16.5" hidden="1" thickBot="1" x14ac:dyDescent="0.3">
      <c r="A164" s="145" t="s">
        <v>161</v>
      </c>
      <c r="B164" s="146" t="s">
        <v>339</v>
      </c>
      <c r="C164" s="175"/>
      <c r="D164" s="108">
        <f t="shared" si="4"/>
        <v>0</v>
      </c>
      <c r="E164" s="117">
        <f t="shared" si="5"/>
        <v>0</v>
      </c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</row>
    <row r="165" spans="1:32" ht="16.5" hidden="1" thickBot="1" x14ac:dyDescent="0.3">
      <c r="A165" s="145" t="s">
        <v>162</v>
      </c>
      <c r="B165" s="146" t="s">
        <v>340</v>
      </c>
      <c r="C165" s="175"/>
      <c r="D165" s="108">
        <f t="shared" si="4"/>
        <v>0</v>
      </c>
      <c r="E165" s="117">
        <f t="shared" si="5"/>
        <v>0</v>
      </c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</row>
    <row r="166" spans="1:32" ht="16.5" hidden="1" thickBot="1" x14ac:dyDescent="0.3">
      <c r="A166" s="145" t="s">
        <v>163</v>
      </c>
      <c r="B166" s="146" t="s">
        <v>341</v>
      </c>
      <c r="C166" s="175"/>
      <c r="D166" s="108">
        <f t="shared" si="4"/>
        <v>0</v>
      </c>
      <c r="E166" s="117">
        <f t="shared" si="5"/>
        <v>0</v>
      </c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</row>
    <row r="167" spans="1:32" ht="16.5" hidden="1" thickBot="1" x14ac:dyDescent="0.3">
      <c r="A167" s="145" t="s">
        <v>164</v>
      </c>
      <c r="B167" s="146" t="s">
        <v>342</v>
      </c>
      <c r="C167" s="175"/>
      <c r="D167" s="108">
        <f t="shared" si="4"/>
        <v>0</v>
      </c>
      <c r="E167" s="117">
        <f t="shared" si="5"/>
        <v>0</v>
      </c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</row>
    <row r="168" spans="1:32" ht="16.5" hidden="1" thickBot="1" x14ac:dyDescent="0.3">
      <c r="A168" s="145" t="s">
        <v>165</v>
      </c>
      <c r="B168" s="146" t="s">
        <v>343</v>
      </c>
      <c r="C168" s="175"/>
      <c r="D168" s="108">
        <f t="shared" si="4"/>
        <v>0</v>
      </c>
      <c r="E168" s="117">
        <f t="shared" si="5"/>
        <v>0</v>
      </c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</row>
    <row r="169" spans="1:32" ht="16.5" hidden="1" thickBot="1" x14ac:dyDescent="0.3">
      <c r="A169" s="145" t="s">
        <v>166</v>
      </c>
      <c r="B169" s="146" t="s">
        <v>344</v>
      </c>
      <c r="C169" s="175"/>
      <c r="D169" s="108">
        <f t="shared" si="4"/>
        <v>0</v>
      </c>
      <c r="E169" s="117">
        <f t="shared" si="5"/>
        <v>0</v>
      </c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</row>
    <row r="170" spans="1:32" ht="16.5" hidden="1" thickBot="1" x14ac:dyDescent="0.3">
      <c r="A170" s="145" t="s">
        <v>167</v>
      </c>
      <c r="B170" s="146" t="s">
        <v>345</v>
      </c>
      <c r="C170" s="175"/>
      <c r="D170" s="108">
        <f t="shared" si="4"/>
        <v>0</v>
      </c>
      <c r="E170" s="117">
        <f t="shared" si="5"/>
        <v>0</v>
      </c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</row>
    <row r="171" spans="1:32" ht="16.5" hidden="1" thickBot="1" x14ac:dyDescent="0.3">
      <c r="A171" s="145" t="s">
        <v>168</v>
      </c>
      <c r="B171" s="146" t="s">
        <v>346</v>
      </c>
      <c r="C171" s="175"/>
      <c r="D171" s="108">
        <f t="shared" si="4"/>
        <v>0</v>
      </c>
      <c r="E171" s="117">
        <f t="shared" si="5"/>
        <v>0</v>
      </c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</row>
    <row r="172" spans="1:32" ht="16.5" hidden="1" thickBot="1" x14ac:dyDescent="0.3">
      <c r="A172" s="145" t="s">
        <v>169</v>
      </c>
      <c r="B172" s="146" t="s">
        <v>347</v>
      </c>
      <c r="C172" s="175"/>
      <c r="D172" s="108">
        <f t="shared" si="4"/>
        <v>0</v>
      </c>
      <c r="E172" s="117">
        <f t="shared" si="5"/>
        <v>0</v>
      </c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</row>
    <row r="173" spans="1:32" ht="16.5" hidden="1" thickBot="1" x14ac:dyDescent="0.3">
      <c r="A173" s="145" t="s">
        <v>170</v>
      </c>
      <c r="B173" s="146" t="s">
        <v>348</v>
      </c>
      <c r="C173" s="175"/>
      <c r="D173" s="108">
        <f t="shared" si="4"/>
        <v>0</v>
      </c>
      <c r="E173" s="117">
        <f t="shared" si="5"/>
        <v>0</v>
      </c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</row>
    <row r="174" spans="1:32" ht="16.5" hidden="1" thickBot="1" x14ac:dyDescent="0.3">
      <c r="A174" s="145" t="s">
        <v>171</v>
      </c>
      <c r="B174" s="146" t="s">
        <v>349</v>
      </c>
      <c r="C174" s="175"/>
      <c r="D174" s="108">
        <f t="shared" si="4"/>
        <v>0</v>
      </c>
      <c r="E174" s="117">
        <f t="shared" si="5"/>
        <v>0</v>
      </c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</row>
    <row r="175" spans="1:32" ht="16.5" hidden="1" thickBot="1" x14ac:dyDescent="0.3">
      <c r="A175" s="145" t="s">
        <v>172</v>
      </c>
      <c r="B175" s="146" t="s">
        <v>350</v>
      </c>
      <c r="C175" s="175"/>
      <c r="D175" s="108">
        <f t="shared" si="4"/>
        <v>0</v>
      </c>
      <c r="E175" s="117">
        <f t="shared" si="5"/>
        <v>0</v>
      </c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</row>
    <row r="176" spans="1:32" ht="16.5" hidden="1" thickBot="1" x14ac:dyDescent="0.3">
      <c r="A176" s="145" t="s">
        <v>173</v>
      </c>
      <c r="B176" s="146" t="s">
        <v>351</v>
      </c>
      <c r="C176" s="175"/>
      <c r="D176" s="108">
        <f t="shared" si="4"/>
        <v>0</v>
      </c>
      <c r="E176" s="117">
        <f t="shared" si="5"/>
        <v>0</v>
      </c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</row>
    <row r="177" spans="1:32" ht="16.5" hidden="1" thickBot="1" x14ac:dyDescent="0.3">
      <c r="A177" s="145" t="s">
        <v>174</v>
      </c>
      <c r="B177" s="146" t="s">
        <v>352</v>
      </c>
      <c r="C177" s="175"/>
      <c r="D177" s="108">
        <f t="shared" si="4"/>
        <v>0</v>
      </c>
      <c r="E177" s="117">
        <f t="shared" si="5"/>
        <v>0</v>
      </c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</row>
    <row r="178" spans="1:32" ht="16.5" thickBot="1" x14ac:dyDescent="0.3">
      <c r="A178" s="145" t="s">
        <v>175</v>
      </c>
      <c r="B178" s="146" t="s">
        <v>353</v>
      </c>
      <c r="C178" s="175">
        <v>6730</v>
      </c>
      <c r="D178" s="108">
        <f t="shared" si="4"/>
        <v>6730</v>
      </c>
      <c r="E178" s="117">
        <f t="shared" si="5"/>
        <v>0</v>
      </c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>
        <v>1021</v>
      </c>
      <c r="U178" s="124"/>
      <c r="V178" s="124"/>
      <c r="W178" s="124">
        <v>1434</v>
      </c>
      <c r="X178" s="124">
        <v>1079</v>
      </c>
      <c r="Y178" s="124">
        <v>2053</v>
      </c>
      <c r="Z178" s="124">
        <v>1143</v>
      </c>
      <c r="AA178" s="124"/>
      <c r="AB178" s="124"/>
      <c r="AC178" s="124"/>
      <c r="AD178" s="124"/>
      <c r="AE178" s="124"/>
      <c r="AF178" s="124"/>
    </row>
    <row r="179" spans="1:32" ht="16.5" hidden="1" thickBot="1" x14ac:dyDescent="0.3">
      <c r="A179" s="145" t="s">
        <v>176</v>
      </c>
      <c r="B179" s="146" t="s">
        <v>354</v>
      </c>
      <c r="C179" s="175"/>
      <c r="D179" s="108">
        <f t="shared" si="4"/>
        <v>0</v>
      </c>
      <c r="E179" s="117">
        <f t="shared" si="5"/>
        <v>0</v>
      </c>
    </row>
    <row r="180" spans="1:32" ht="16.5" hidden="1" thickBot="1" x14ac:dyDescent="0.3">
      <c r="A180" s="145" t="s">
        <v>177</v>
      </c>
      <c r="B180" s="146" t="s">
        <v>355</v>
      </c>
      <c r="C180" s="175"/>
      <c r="D180" s="108">
        <f t="shared" si="4"/>
        <v>0</v>
      </c>
      <c r="E180" s="117">
        <f t="shared" si="5"/>
        <v>0</v>
      </c>
    </row>
    <row r="181" spans="1:32" ht="16.5" hidden="1" thickBot="1" x14ac:dyDescent="0.3">
      <c r="A181" s="145" t="s">
        <v>178</v>
      </c>
      <c r="B181" s="146" t="s">
        <v>356</v>
      </c>
      <c r="C181" s="175"/>
      <c r="D181" s="108">
        <f t="shared" si="4"/>
        <v>0</v>
      </c>
      <c r="E181" s="117">
        <f t="shared" si="5"/>
        <v>0</v>
      </c>
    </row>
    <row r="182" spans="1:32" ht="16.5" hidden="1" thickBot="1" x14ac:dyDescent="0.3">
      <c r="A182" s="145" t="s">
        <v>179</v>
      </c>
      <c r="B182" s="146" t="s">
        <v>357</v>
      </c>
      <c r="C182" s="175"/>
      <c r="D182" s="108">
        <f t="shared" si="4"/>
        <v>0</v>
      </c>
      <c r="E182" s="117">
        <f t="shared" si="5"/>
        <v>0</v>
      </c>
    </row>
    <row r="183" spans="1:32" ht="16.5" hidden="1" thickBot="1" x14ac:dyDescent="0.3">
      <c r="A183" s="145" t="s">
        <v>180</v>
      </c>
      <c r="B183" s="146" t="s">
        <v>358</v>
      </c>
      <c r="C183" s="175"/>
      <c r="D183" s="108">
        <f t="shared" si="4"/>
        <v>0</v>
      </c>
      <c r="E183" s="117">
        <f t="shared" si="5"/>
        <v>0</v>
      </c>
    </row>
    <row r="184" spans="1:32" ht="16.5" hidden="1" thickBot="1" x14ac:dyDescent="0.3">
      <c r="A184" s="145" t="s">
        <v>181</v>
      </c>
      <c r="B184" s="146" t="s">
        <v>359</v>
      </c>
      <c r="C184" s="175"/>
      <c r="D184" s="108">
        <f t="shared" si="4"/>
        <v>0</v>
      </c>
      <c r="E184" s="117">
        <f t="shared" si="5"/>
        <v>0</v>
      </c>
    </row>
    <row r="185" spans="1:32" ht="16.5" hidden="1" thickBot="1" x14ac:dyDescent="0.3">
      <c r="A185" s="145" t="s">
        <v>182</v>
      </c>
      <c r="B185" s="146" t="s">
        <v>360</v>
      </c>
      <c r="C185" s="175"/>
      <c r="D185" s="108">
        <f t="shared" si="4"/>
        <v>0</v>
      </c>
      <c r="E185" s="117">
        <f t="shared" si="5"/>
        <v>0</v>
      </c>
    </row>
    <row r="186" spans="1:32" ht="16.5" hidden="1" thickBot="1" x14ac:dyDescent="0.3">
      <c r="A186" s="145" t="s">
        <v>183</v>
      </c>
      <c r="B186" s="146" t="s">
        <v>361</v>
      </c>
      <c r="C186" s="175"/>
      <c r="D186" s="108">
        <f t="shared" si="4"/>
        <v>0</v>
      </c>
      <c r="E186" s="117">
        <f t="shared" si="5"/>
        <v>0</v>
      </c>
    </row>
    <row r="187" spans="1:32" ht="16.5" hidden="1" thickBot="1" x14ac:dyDescent="0.3">
      <c r="A187" s="145" t="s">
        <v>184</v>
      </c>
      <c r="B187" s="146" t="s">
        <v>362</v>
      </c>
      <c r="C187" s="175"/>
      <c r="D187" s="108">
        <f t="shared" si="4"/>
        <v>0</v>
      </c>
      <c r="E187" s="117">
        <f t="shared" si="5"/>
        <v>0</v>
      </c>
    </row>
    <row r="188" spans="1:32" ht="16.5" hidden="1" thickBot="1" x14ac:dyDescent="0.3">
      <c r="A188" s="145" t="s">
        <v>185</v>
      </c>
      <c r="B188" s="146" t="s">
        <v>363</v>
      </c>
      <c r="C188" s="175"/>
      <c r="D188" s="108">
        <f t="shared" si="4"/>
        <v>0</v>
      </c>
      <c r="E188" s="117">
        <f t="shared" si="5"/>
        <v>0</v>
      </c>
    </row>
    <row r="189" spans="1:32" ht="16.5" hidden="1" thickBot="1" x14ac:dyDescent="0.3">
      <c r="A189" s="145" t="s">
        <v>367</v>
      </c>
      <c r="B189" s="146" t="s">
        <v>366</v>
      </c>
      <c r="C189" s="175"/>
      <c r="D189" s="108">
        <f t="shared" si="4"/>
        <v>0</v>
      </c>
      <c r="E189" s="117">
        <f t="shared" si="5"/>
        <v>0</v>
      </c>
    </row>
    <row r="190" spans="1:32" ht="16.5" hidden="1" thickBot="1" x14ac:dyDescent="0.3">
      <c r="A190" s="149">
        <v>8001</v>
      </c>
      <c r="B190" s="146" t="s">
        <v>365</v>
      </c>
      <c r="C190" s="175"/>
      <c r="D190" s="108">
        <f t="shared" si="4"/>
        <v>0</v>
      </c>
      <c r="E190" s="117">
        <f t="shared" si="5"/>
        <v>0</v>
      </c>
    </row>
    <row r="191" spans="1:32" ht="16.5" hidden="1" thickBot="1" x14ac:dyDescent="0.3">
      <c r="A191" s="153" t="s">
        <v>375</v>
      </c>
      <c r="B191" s="150" t="s">
        <v>380</v>
      </c>
      <c r="C191" s="175"/>
      <c r="D191" s="108">
        <f t="shared" si="4"/>
        <v>0</v>
      </c>
      <c r="E191" s="117">
        <f t="shared" si="5"/>
        <v>0</v>
      </c>
    </row>
    <row r="192" spans="1:32" ht="16.5" hidden="1" thickBot="1" x14ac:dyDescent="0.3">
      <c r="A192" s="153" t="s">
        <v>376</v>
      </c>
      <c r="B192" s="150" t="s">
        <v>381</v>
      </c>
      <c r="C192" s="175"/>
      <c r="D192" s="108">
        <f t="shared" si="4"/>
        <v>0</v>
      </c>
      <c r="E192" s="117">
        <f t="shared" si="5"/>
        <v>0</v>
      </c>
    </row>
    <row r="193" spans="1:32" ht="16.5" hidden="1" thickBot="1" x14ac:dyDescent="0.3">
      <c r="A193" s="153" t="s">
        <v>377</v>
      </c>
      <c r="B193" s="151" t="s">
        <v>382</v>
      </c>
      <c r="C193" s="175"/>
      <c r="D193" s="108">
        <f t="shared" si="4"/>
        <v>0</v>
      </c>
      <c r="E193" s="117">
        <f t="shared" si="5"/>
        <v>0</v>
      </c>
    </row>
    <row r="194" spans="1:32" ht="16.5" hidden="1" thickBot="1" x14ac:dyDescent="0.3">
      <c r="A194" s="153" t="s">
        <v>378</v>
      </c>
      <c r="B194" s="150" t="s">
        <v>383</v>
      </c>
      <c r="C194" s="175"/>
      <c r="D194" s="108">
        <f t="shared" si="4"/>
        <v>0</v>
      </c>
      <c r="E194" s="117">
        <f t="shared" si="5"/>
        <v>0</v>
      </c>
    </row>
    <row r="195" spans="1:32" ht="16.5" hidden="1" thickBot="1" x14ac:dyDescent="0.3">
      <c r="A195" s="153" t="s">
        <v>379</v>
      </c>
      <c r="B195" s="152" t="s">
        <v>384</v>
      </c>
      <c r="C195" s="176"/>
      <c r="D195" s="109">
        <f t="shared" si="4"/>
        <v>0</v>
      </c>
      <c r="E195" s="118">
        <f t="shared" si="5"/>
        <v>0</v>
      </c>
    </row>
    <row r="196" spans="1:32" ht="16.5" thickBot="1" x14ac:dyDescent="0.3">
      <c r="A196" s="153"/>
      <c r="B196" s="152"/>
      <c r="C196" s="177"/>
      <c r="D196" s="167"/>
      <c r="E196" s="168"/>
    </row>
    <row r="197" spans="1:32" ht="16.5" thickBot="1" x14ac:dyDescent="0.3">
      <c r="A197" s="172"/>
      <c r="B197" s="172"/>
      <c r="C197" s="178">
        <f>SUM(C11:C195)</f>
        <v>1316332</v>
      </c>
      <c r="D197" s="178">
        <f t="shared" ref="D197:AF197" si="6">SUM(D11:D195)</f>
        <v>1316332</v>
      </c>
      <c r="E197" s="178">
        <f t="shared" si="6"/>
        <v>0</v>
      </c>
      <c r="F197" s="178">
        <f t="shared" si="6"/>
        <v>0</v>
      </c>
      <c r="G197" s="178">
        <f t="shared" si="6"/>
        <v>0</v>
      </c>
      <c r="H197" s="178">
        <f t="shared" si="6"/>
        <v>0</v>
      </c>
      <c r="I197" s="178">
        <f t="shared" si="6"/>
        <v>0</v>
      </c>
      <c r="J197" s="178">
        <f t="shared" si="6"/>
        <v>24201</v>
      </c>
      <c r="K197" s="178">
        <f t="shared" si="6"/>
        <v>1591</v>
      </c>
      <c r="L197" s="178">
        <f t="shared" si="6"/>
        <v>69329</v>
      </c>
      <c r="M197" s="178">
        <f t="shared" si="6"/>
        <v>42996</v>
      </c>
      <c r="N197" s="178">
        <f t="shared" si="6"/>
        <v>89342</v>
      </c>
      <c r="O197" s="178">
        <f t="shared" si="6"/>
        <v>130065</v>
      </c>
      <c r="P197" s="178">
        <f t="shared" si="6"/>
        <v>22714</v>
      </c>
      <c r="Q197" s="178">
        <f t="shared" si="6"/>
        <v>463380</v>
      </c>
      <c r="R197" s="178">
        <f t="shared" si="6"/>
        <v>7479</v>
      </c>
      <c r="S197" s="178">
        <f t="shared" si="6"/>
        <v>153324</v>
      </c>
      <c r="T197" s="178">
        <f t="shared" si="6"/>
        <v>26550</v>
      </c>
      <c r="U197" s="178">
        <f t="shared" si="6"/>
        <v>0</v>
      </c>
      <c r="V197" s="178">
        <f t="shared" si="6"/>
        <v>76705</v>
      </c>
      <c r="W197" s="178">
        <f t="shared" si="6"/>
        <v>76600</v>
      </c>
      <c r="X197" s="178">
        <f t="shared" si="6"/>
        <v>8356</v>
      </c>
      <c r="Y197" s="178">
        <f t="shared" si="6"/>
        <v>103630</v>
      </c>
      <c r="Z197" s="178">
        <f t="shared" si="6"/>
        <v>11653</v>
      </c>
      <c r="AA197" s="178">
        <f t="shared" si="6"/>
        <v>3425</v>
      </c>
      <c r="AB197" s="178">
        <f t="shared" si="6"/>
        <v>1398</v>
      </c>
      <c r="AC197" s="178">
        <f t="shared" si="6"/>
        <v>0</v>
      </c>
      <c r="AD197" s="178">
        <f t="shared" si="6"/>
        <v>3594</v>
      </c>
      <c r="AE197" s="178">
        <f t="shared" si="6"/>
        <v>0</v>
      </c>
      <c r="AF197" s="178">
        <f t="shared" si="6"/>
        <v>0</v>
      </c>
    </row>
    <row r="199" spans="1:32" x14ac:dyDescent="0.25">
      <c r="L199" s="256"/>
      <c r="M199" s="256"/>
      <c r="N199" s="256"/>
      <c r="Q199" s="256"/>
    </row>
    <row r="200" spans="1:32" x14ac:dyDescent="0.25">
      <c r="T200" s="256"/>
    </row>
  </sheetData>
  <sheetProtection password="EF32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F17"/>
  <sheetViews>
    <sheetView workbookViewId="0">
      <pane xSplit="5" ySplit="10" topLeftCell="AC11" activePane="bottomRight" state="frozen"/>
      <selection pane="topRight" activeCell="F1" sqref="F1"/>
      <selection pane="bottomLeft" activeCell="A18" sqref="A18"/>
      <selection pane="bottomRight" activeCell="AC11" sqref="AC11"/>
    </sheetView>
  </sheetViews>
  <sheetFormatPr defaultColWidth="9.140625" defaultRowHeight="15" x14ac:dyDescent="0.25"/>
  <cols>
    <col min="1" max="1" width="9.140625" style="20" customWidth="1"/>
    <col min="2" max="2" width="36.7109375" style="20" customWidth="1"/>
    <col min="3" max="3" width="20.85546875" style="20" customWidth="1"/>
    <col min="4" max="4" width="18.85546875" style="20" customWidth="1"/>
    <col min="5" max="5" width="17" style="20" customWidth="1"/>
    <col min="6" max="32" width="15.7109375" style="20" customWidth="1"/>
    <col min="33" max="16384" width="9.140625" style="20"/>
  </cols>
  <sheetData>
    <row r="1" spans="1:32" ht="21" x14ac:dyDescent="0.35">
      <c r="A1" s="26" t="s">
        <v>0</v>
      </c>
      <c r="B1" s="27"/>
      <c r="C1" s="28" t="s">
        <v>391</v>
      </c>
      <c r="D1" s="26"/>
      <c r="E1" s="29"/>
      <c r="F1" s="30"/>
      <c r="G1" s="30"/>
      <c r="H1" s="28" t="str">
        <f>A1</f>
        <v>Grant:</v>
      </c>
      <c r="I1" s="28" t="str">
        <f>C1</f>
        <v>Title I-D Delinquent</v>
      </c>
      <c r="J1" s="26"/>
      <c r="K1" s="26"/>
      <c r="L1" s="29"/>
      <c r="M1" s="29"/>
      <c r="N1" s="30"/>
      <c r="O1" s="30"/>
      <c r="P1" s="28" t="s">
        <v>0</v>
      </c>
      <c r="Q1" s="28" t="s">
        <v>391</v>
      </c>
      <c r="R1" s="26"/>
      <c r="S1" s="26"/>
      <c r="T1" s="29"/>
      <c r="U1" s="29"/>
      <c r="V1" s="30"/>
      <c r="W1" s="30"/>
      <c r="X1" s="28" t="s">
        <v>0</v>
      </c>
      <c r="Y1" s="28" t="s">
        <v>7</v>
      </c>
      <c r="Z1" s="26"/>
      <c r="AA1" s="26"/>
      <c r="AB1" s="29"/>
      <c r="AC1" s="29"/>
      <c r="AD1" s="30"/>
      <c r="AE1" s="30"/>
      <c r="AF1" s="28"/>
    </row>
    <row r="2" spans="1:32" ht="15.75" x14ac:dyDescent="0.25">
      <c r="A2" s="31" t="s">
        <v>1</v>
      </c>
      <c r="B2" s="27"/>
      <c r="C2" s="34" t="s">
        <v>445</v>
      </c>
      <c r="D2" s="31"/>
      <c r="E2" s="33"/>
      <c r="F2" s="30"/>
      <c r="G2" s="30"/>
      <c r="H2" s="31" t="s">
        <v>2</v>
      </c>
      <c r="I2" s="31"/>
      <c r="J2" s="34" t="str">
        <f>$C$4</f>
        <v>2013-14</v>
      </c>
      <c r="K2" s="34"/>
      <c r="L2" s="33"/>
      <c r="M2" s="33"/>
      <c r="N2" s="33"/>
      <c r="O2" s="33"/>
      <c r="P2" s="31" t="s">
        <v>2</v>
      </c>
      <c r="Q2" s="31"/>
      <c r="R2" s="34" t="str">
        <f>$C$4</f>
        <v>2013-14</v>
      </c>
      <c r="S2" s="34"/>
      <c r="T2" s="33"/>
      <c r="U2" s="33"/>
      <c r="V2" s="33"/>
      <c r="W2" s="33"/>
      <c r="X2" s="31" t="s">
        <v>2</v>
      </c>
      <c r="Y2" s="31"/>
      <c r="Z2" s="34" t="str">
        <f>$C$4</f>
        <v>2013-14</v>
      </c>
      <c r="AA2" s="34"/>
      <c r="AB2" s="33"/>
      <c r="AC2" s="33"/>
      <c r="AD2" s="33"/>
      <c r="AE2" s="33"/>
      <c r="AF2" s="31"/>
    </row>
    <row r="3" spans="1:32" ht="15.75" x14ac:dyDescent="0.25">
      <c r="A3" s="31" t="s">
        <v>4</v>
      </c>
      <c r="B3" s="27"/>
      <c r="C3" s="34">
        <v>4013</v>
      </c>
      <c r="D3" s="31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5.75" x14ac:dyDescent="0.25">
      <c r="A4" s="31" t="s">
        <v>2</v>
      </c>
      <c r="B4" s="27"/>
      <c r="C4" s="34" t="str">
        <f>'NCLB Title I-A Formula'!$C$4</f>
        <v>2013-14</v>
      </c>
      <c r="D4" s="33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5.75" x14ac:dyDescent="0.25">
      <c r="A5" s="31" t="s">
        <v>437</v>
      </c>
      <c r="B5" s="27"/>
      <c r="C5" s="262" t="s">
        <v>479</v>
      </c>
      <c r="D5" s="31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5.75" x14ac:dyDescent="0.25">
      <c r="A6" s="31" t="s">
        <v>5</v>
      </c>
      <c r="B6" s="27"/>
      <c r="C6" s="31" t="s">
        <v>6</v>
      </c>
      <c r="D6" s="31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.75" x14ac:dyDescent="0.25">
      <c r="A7" s="31" t="s">
        <v>388</v>
      </c>
      <c r="B7" s="27"/>
      <c r="C7" s="31" t="s">
        <v>484</v>
      </c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.75" x14ac:dyDescent="0.25">
      <c r="A8" s="31" t="s">
        <v>389</v>
      </c>
      <c r="B8" s="27"/>
      <c r="C8" s="31" t="s">
        <v>390</v>
      </c>
      <c r="D8" s="33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6.5" thickBot="1" x14ac:dyDescent="0.3">
      <c r="A9" s="31" t="s">
        <v>438</v>
      </c>
      <c r="B9" s="27"/>
      <c r="C9" s="31" t="s">
        <v>463</v>
      </c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32.25" customHeight="1" thickBot="1" x14ac:dyDescent="0.3">
      <c r="A10" s="128" t="s">
        <v>370</v>
      </c>
      <c r="B10" s="129" t="s">
        <v>371</v>
      </c>
      <c r="C10" s="129" t="s">
        <v>372</v>
      </c>
      <c r="D10" s="129" t="s">
        <v>373</v>
      </c>
      <c r="E10" s="113" t="s">
        <v>374</v>
      </c>
      <c r="F10" s="132" t="s">
        <v>385</v>
      </c>
      <c r="G10" s="132" t="s">
        <v>386</v>
      </c>
      <c r="H10" s="132" t="s">
        <v>387</v>
      </c>
      <c r="I10" s="132" t="s">
        <v>450</v>
      </c>
      <c r="J10" s="132" t="s">
        <v>451</v>
      </c>
      <c r="K10" s="132" t="s">
        <v>452</v>
      </c>
      <c r="L10" s="132" t="s">
        <v>453</v>
      </c>
      <c r="M10" s="132" t="s">
        <v>454</v>
      </c>
      <c r="N10" s="132" t="s">
        <v>455</v>
      </c>
      <c r="O10" s="132" t="s">
        <v>456</v>
      </c>
      <c r="P10" s="132" t="s">
        <v>457</v>
      </c>
      <c r="Q10" s="132" t="s">
        <v>458</v>
      </c>
      <c r="R10" s="132" t="s">
        <v>447</v>
      </c>
      <c r="S10" s="132" t="s">
        <v>448</v>
      </c>
      <c r="T10" s="132" t="s">
        <v>449</v>
      </c>
      <c r="U10" s="133" t="s">
        <v>464</v>
      </c>
      <c r="V10" s="134" t="s">
        <v>465</v>
      </c>
      <c r="W10" s="133" t="s">
        <v>466</v>
      </c>
      <c r="X10" s="284" t="s">
        <v>467</v>
      </c>
      <c r="Y10" s="285" t="s">
        <v>468</v>
      </c>
      <c r="Z10" s="132" t="s">
        <v>469</v>
      </c>
      <c r="AA10" s="285" t="s">
        <v>470</v>
      </c>
      <c r="AB10" s="132" t="s">
        <v>471</v>
      </c>
      <c r="AC10" s="285" t="s">
        <v>472</v>
      </c>
      <c r="AD10" s="132" t="s">
        <v>473</v>
      </c>
      <c r="AE10" s="285" t="s">
        <v>474</v>
      </c>
      <c r="AF10" s="132" t="s">
        <v>475</v>
      </c>
    </row>
    <row r="11" spans="1:32" ht="16.5" thickBot="1" x14ac:dyDescent="0.3">
      <c r="A11" s="150" t="s">
        <v>441</v>
      </c>
      <c r="B11" s="150" t="s">
        <v>443</v>
      </c>
      <c r="C11" s="175">
        <v>473864</v>
      </c>
      <c r="D11" s="108">
        <f t="shared" ref="D11:D12" si="0">SUM(F11:AF11)</f>
        <v>473864</v>
      </c>
      <c r="E11" s="117">
        <f t="shared" ref="E11:E12" si="1">C11-D11</f>
        <v>0</v>
      </c>
      <c r="F11" s="196"/>
      <c r="G11" s="196"/>
      <c r="H11" s="196"/>
      <c r="I11" s="196"/>
      <c r="J11" s="196"/>
      <c r="K11" s="196"/>
      <c r="L11" s="196"/>
      <c r="M11" s="196"/>
      <c r="N11" s="196">
        <f>92214+72499</f>
        <v>164713</v>
      </c>
      <c r="O11" s="196"/>
      <c r="P11" s="196"/>
      <c r="Q11" s="196"/>
      <c r="R11" s="196">
        <f>94751.23+143345.77</f>
        <v>238097</v>
      </c>
      <c r="S11" s="196">
        <v>881</v>
      </c>
      <c r="T11" s="196"/>
      <c r="U11" s="196"/>
      <c r="V11" s="196"/>
      <c r="W11" s="196">
        <f>17453.13+43116.87</f>
        <v>60570</v>
      </c>
      <c r="X11" s="196"/>
      <c r="Y11" s="196"/>
      <c r="Z11" s="196"/>
      <c r="AA11" s="196"/>
      <c r="AB11" s="196"/>
      <c r="AC11" s="196">
        <v>9603</v>
      </c>
      <c r="AD11" s="196"/>
      <c r="AE11" s="196"/>
      <c r="AF11" s="196"/>
    </row>
    <row r="12" spans="1:32" ht="16.5" thickBot="1" x14ac:dyDescent="0.3">
      <c r="A12" s="150" t="s">
        <v>442</v>
      </c>
      <c r="B12" s="152" t="s">
        <v>444</v>
      </c>
      <c r="C12" s="176">
        <v>55186</v>
      </c>
      <c r="D12" s="109">
        <f t="shared" si="0"/>
        <v>23391.56</v>
      </c>
      <c r="E12" s="118">
        <f t="shared" si="1"/>
        <v>31794.44</v>
      </c>
      <c r="F12" s="196"/>
      <c r="G12" s="196"/>
      <c r="H12" s="196"/>
      <c r="I12" s="196"/>
      <c r="J12" s="196"/>
      <c r="K12" s="196"/>
      <c r="L12" s="196"/>
      <c r="M12" s="196"/>
      <c r="N12" s="196">
        <v>5938.43</v>
      </c>
      <c r="O12" s="196"/>
      <c r="P12" s="196"/>
      <c r="Q12" s="196"/>
      <c r="R12" s="196">
        <v>17453.13</v>
      </c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</row>
    <row r="13" spans="1:32" ht="16.5" thickBot="1" x14ac:dyDescent="0.3">
      <c r="A13" s="153"/>
      <c r="B13" s="152"/>
      <c r="C13" s="177"/>
      <c r="D13" s="167"/>
      <c r="E13" s="168"/>
    </row>
    <row r="14" spans="1:32" ht="16.5" thickBot="1" x14ac:dyDescent="0.3">
      <c r="A14" s="172"/>
      <c r="B14" s="172"/>
      <c r="C14" s="178">
        <f t="shared" ref="C14:AF14" si="2">SUM(C11:C12)</f>
        <v>529050</v>
      </c>
      <c r="D14" s="178">
        <f t="shared" si="2"/>
        <v>497255.56</v>
      </c>
      <c r="E14" s="178">
        <f t="shared" si="2"/>
        <v>31794.44</v>
      </c>
      <c r="F14" s="178">
        <f t="shared" si="2"/>
        <v>0</v>
      </c>
      <c r="G14" s="178">
        <f t="shared" si="2"/>
        <v>0</v>
      </c>
      <c r="H14" s="178">
        <f t="shared" si="2"/>
        <v>0</v>
      </c>
      <c r="I14" s="178">
        <f t="shared" si="2"/>
        <v>0</v>
      </c>
      <c r="J14" s="178">
        <f t="shared" si="2"/>
        <v>0</v>
      </c>
      <c r="K14" s="178">
        <f t="shared" si="2"/>
        <v>0</v>
      </c>
      <c r="L14" s="178">
        <f t="shared" si="2"/>
        <v>0</v>
      </c>
      <c r="M14" s="178">
        <f t="shared" si="2"/>
        <v>0</v>
      </c>
      <c r="N14" s="178">
        <f t="shared" si="2"/>
        <v>170651.43</v>
      </c>
      <c r="O14" s="178">
        <f t="shared" si="2"/>
        <v>0</v>
      </c>
      <c r="P14" s="178">
        <f t="shared" si="2"/>
        <v>0</v>
      </c>
      <c r="Q14" s="178">
        <f t="shared" si="2"/>
        <v>0</v>
      </c>
      <c r="R14" s="178">
        <f t="shared" si="2"/>
        <v>255550.13</v>
      </c>
      <c r="S14" s="178">
        <f t="shared" si="2"/>
        <v>881</v>
      </c>
      <c r="T14" s="178">
        <f t="shared" si="2"/>
        <v>0</v>
      </c>
      <c r="U14" s="178">
        <f t="shared" si="2"/>
        <v>0</v>
      </c>
      <c r="V14" s="178">
        <f t="shared" si="2"/>
        <v>0</v>
      </c>
      <c r="W14" s="178">
        <f t="shared" si="2"/>
        <v>60570</v>
      </c>
      <c r="X14" s="178">
        <f t="shared" si="2"/>
        <v>0</v>
      </c>
      <c r="Y14" s="178">
        <f t="shared" si="2"/>
        <v>0</v>
      </c>
      <c r="Z14" s="178">
        <f t="shared" si="2"/>
        <v>0</v>
      </c>
      <c r="AA14" s="178">
        <f t="shared" si="2"/>
        <v>0</v>
      </c>
      <c r="AB14" s="178">
        <f t="shared" si="2"/>
        <v>0</v>
      </c>
      <c r="AC14" s="178">
        <f t="shared" si="2"/>
        <v>9603</v>
      </c>
      <c r="AD14" s="178">
        <f t="shared" si="2"/>
        <v>0</v>
      </c>
      <c r="AE14" s="178">
        <f t="shared" si="2"/>
        <v>0</v>
      </c>
      <c r="AF14" s="178">
        <f t="shared" si="2"/>
        <v>0</v>
      </c>
    </row>
    <row r="17" spans="16:16" x14ac:dyDescent="0.25">
      <c r="P17" s="25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R228"/>
  <sheetViews>
    <sheetView workbookViewId="0">
      <pane xSplit="7" ySplit="12" topLeftCell="AD13" activePane="bottomRight" state="frozen"/>
      <selection pane="topRight" activeCell="H1" sqref="H1"/>
      <selection pane="bottomLeft" activeCell="A14" sqref="A14"/>
      <selection pane="bottomRight" activeCell="AD90" sqref="AD90"/>
    </sheetView>
  </sheetViews>
  <sheetFormatPr defaultColWidth="9.140625" defaultRowHeight="15" x14ac:dyDescent="0.25"/>
  <cols>
    <col min="1" max="1" width="8.28515625" style="20" customWidth="1"/>
    <col min="2" max="2" width="29.140625" style="20" customWidth="1"/>
    <col min="3" max="3" width="16.5703125" style="20" customWidth="1"/>
    <col min="4" max="4" width="17.5703125" style="18" customWidth="1"/>
    <col min="5" max="5" width="18.7109375" style="20" customWidth="1"/>
    <col min="6" max="7" width="17" style="20" customWidth="1"/>
    <col min="8" max="37" width="15.7109375" style="20" customWidth="1"/>
    <col min="38" max="43" width="12.7109375" style="20" customWidth="1"/>
    <col min="44" max="16384" width="9.140625" style="20"/>
  </cols>
  <sheetData>
    <row r="1" spans="1:44" s="21" customFormat="1" ht="21" x14ac:dyDescent="0.35">
      <c r="A1" s="257" t="s">
        <v>0</v>
      </c>
      <c r="B1" s="258"/>
      <c r="C1" s="259" t="s">
        <v>400</v>
      </c>
      <c r="D1" s="37"/>
      <c r="E1" s="259"/>
      <c r="F1" s="257"/>
      <c r="G1" s="260"/>
      <c r="H1" s="261"/>
      <c r="I1" s="261"/>
      <c r="J1" s="259" t="str">
        <f>A1</f>
        <v>Grant:</v>
      </c>
      <c r="K1" s="259" t="str">
        <f>C1</f>
        <v>Title II-A Formula</v>
      </c>
      <c r="L1" s="257"/>
      <c r="M1" s="257"/>
      <c r="N1" s="260"/>
      <c r="O1" s="260"/>
      <c r="P1" s="261"/>
      <c r="Q1" s="261"/>
      <c r="R1" s="259" t="s">
        <v>0</v>
      </c>
      <c r="S1" s="259" t="str">
        <f>$C$1</f>
        <v>Title II-A Formula</v>
      </c>
      <c r="T1" s="257"/>
      <c r="U1" s="257"/>
      <c r="V1" s="260"/>
      <c r="W1" s="260"/>
      <c r="X1" s="261"/>
      <c r="Y1" s="261"/>
      <c r="Z1" s="259" t="s">
        <v>0</v>
      </c>
      <c r="AA1" s="259" t="str">
        <f>$C$1</f>
        <v>Title II-A Formula</v>
      </c>
      <c r="AB1" s="257"/>
      <c r="AC1" s="257"/>
      <c r="AD1" s="260"/>
      <c r="AE1" s="260"/>
      <c r="AF1" s="261"/>
      <c r="AG1" s="261"/>
      <c r="AH1" s="259"/>
      <c r="AI1" s="75"/>
      <c r="AJ1" s="75"/>
      <c r="AK1" s="76"/>
      <c r="AL1" s="76"/>
      <c r="AM1" s="74" t="s">
        <v>0</v>
      </c>
      <c r="AN1" s="74" t="str">
        <f>$C$1</f>
        <v>Title II-A Formula</v>
      </c>
      <c r="AO1" s="75"/>
      <c r="AP1" s="76"/>
    </row>
    <row r="2" spans="1:44" s="21" customFormat="1" ht="21" x14ac:dyDescent="0.35">
      <c r="A2" s="262" t="s">
        <v>1</v>
      </c>
      <c r="B2" s="258"/>
      <c r="C2" s="263">
        <v>84.367000000000004</v>
      </c>
      <c r="D2" s="38"/>
      <c r="E2" s="263"/>
      <c r="F2" s="262"/>
      <c r="G2" s="264"/>
      <c r="H2" s="261"/>
      <c r="I2" s="261"/>
      <c r="J2" s="262" t="s">
        <v>2</v>
      </c>
      <c r="K2" s="259" t="str">
        <f>$C$4</f>
        <v>2013-14</v>
      </c>
      <c r="L2" s="265"/>
      <c r="M2" s="265"/>
      <c r="N2" s="264"/>
      <c r="O2" s="264"/>
      <c r="P2" s="264"/>
      <c r="Q2" s="264"/>
      <c r="R2" s="262" t="s">
        <v>2</v>
      </c>
      <c r="S2" s="259" t="str">
        <f>$C$4</f>
        <v>2013-14</v>
      </c>
      <c r="T2" s="265" t="s">
        <v>396</v>
      </c>
      <c r="U2" s="265"/>
      <c r="V2" s="264"/>
      <c r="W2" s="264"/>
      <c r="X2" s="264"/>
      <c r="Y2" s="264"/>
      <c r="Z2" s="262" t="s">
        <v>2</v>
      </c>
      <c r="AA2" s="259" t="str">
        <f>$C$4</f>
        <v>2013-14</v>
      </c>
      <c r="AB2" s="265"/>
      <c r="AC2" s="265"/>
      <c r="AD2" s="264"/>
      <c r="AE2" s="264"/>
      <c r="AF2" s="264"/>
      <c r="AG2" s="264"/>
      <c r="AH2" s="262"/>
      <c r="AI2" s="78"/>
      <c r="AJ2" s="78"/>
      <c r="AK2" s="78"/>
      <c r="AL2" s="78"/>
      <c r="AM2" s="77" t="s">
        <v>2</v>
      </c>
      <c r="AN2" s="77"/>
      <c r="AO2" s="79" t="s">
        <v>3</v>
      </c>
      <c r="AP2" s="78"/>
    </row>
    <row r="3" spans="1:44" s="21" customFormat="1" ht="15.75" x14ac:dyDescent="0.25">
      <c r="A3" s="262" t="s">
        <v>4</v>
      </c>
      <c r="B3" s="258"/>
      <c r="C3" s="265">
        <v>4367</v>
      </c>
      <c r="D3" s="39"/>
      <c r="E3" s="265"/>
      <c r="F3" s="262"/>
      <c r="G3" s="264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76"/>
      <c r="AJ3" s="76"/>
      <c r="AK3" s="76"/>
      <c r="AL3" s="76"/>
      <c r="AM3" s="76"/>
    </row>
    <row r="4" spans="1:44" s="21" customFormat="1" ht="21" x14ac:dyDescent="0.35">
      <c r="A4" s="262" t="s">
        <v>2</v>
      </c>
      <c r="B4" s="258"/>
      <c r="C4" s="259" t="str">
        <f>'NCLB Title I-A Formula'!$C$4</f>
        <v>2013-14</v>
      </c>
      <c r="D4" s="39"/>
      <c r="E4" s="265"/>
      <c r="F4" s="264"/>
      <c r="G4" s="264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76"/>
      <c r="AJ4" s="76"/>
      <c r="AK4" s="76"/>
      <c r="AL4" s="76"/>
      <c r="AM4" s="76"/>
    </row>
    <row r="5" spans="1:44" s="21" customFormat="1" ht="15.75" x14ac:dyDescent="0.25">
      <c r="A5" s="262" t="s">
        <v>437</v>
      </c>
      <c r="B5" s="258"/>
      <c r="C5" s="231" t="s">
        <v>479</v>
      </c>
      <c r="D5" s="39"/>
      <c r="E5" s="262"/>
      <c r="F5" s="262"/>
      <c r="G5" s="266"/>
      <c r="H5" s="266"/>
      <c r="I5" s="266"/>
      <c r="J5" s="266"/>
      <c r="K5" s="266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80"/>
      <c r="AJ5" s="80"/>
      <c r="AK5" s="80"/>
      <c r="AL5" s="80"/>
      <c r="AM5" s="80"/>
      <c r="AN5" s="81"/>
      <c r="AO5" s="81"/>
    </row>
    <row r="6" spans="1:44" s="21" customFormat="1" ht="15.75" x14ac:dyDescent="0.25">
      <c r="A6" s="262" t="s">
        <v>5</v>
      </c>
      <c r="B6" s="258"/>
      <c r="C6" s="231" t="s">
        <v>369</v>
      </c>
      <c r="D6" s="39"/>
      <c r="E6" s="262"/>
      <c r="F6" s="262"/>
      <c r="G6" s="266"/>
      <c r="H6" s="266"/>
      <c r="I6" s="266"/>
      <c r="J6" s="266"/>
      <c r="K6" s="266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80"/>
      <c r="AJ6" s="80"/>
      <c r="AK6" s="80"/>
      <c r="AL6" s="80"/>
      <c r="AM6" s="80"/>
      <c r="AN6" s="81"/>
      <c r="AO6" s="81"/>
    </row>
    <row r="7" spans="1:44" s="21" customFormat="1" ht="15.75" x14ac:dyDescent="0.25">
      <c r="A7" s="262"/>
      <c r="B7" s="258"/>
      <c r="C7" s="231" t="s">
        <v>487</v>
      </c>
      <c r="D7" s="39"/>
      <c r="E7" s="262"/>
      <c r="F7" s="262"/>
      <c r="G7" s="266"/>
      <c r="H7" s="266"/>
      <c r="I7" s="266"/>
      <c r="J7" s="266"/>
      <c r="K7" s="266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80"/>
      <c r="AJ7" s="80"/>
      <c r="AK7" s="80"/>
      <c r="AL7" s="80"/>
      <c r="AM7" s="80"/>
      <c r="AN7" s="81"/>
      <c r="AO7" s="81"/>
    </row>
    <row r="8" spans="1:44" s="21" customFormat="1" ht="15.75" x14ac:dyDescent="0.25">
      <c r="A8" s="262"/>
      <c r="B8" s="258"/>
      <c r="C8" s="258"/>
      <c r="D8" s="39"/>
      <c r="E8" s="262"/>
      <c r="F8" s="262"/>
      <c r="G8" s="266"/>
      <c r="H8" s="266"/>
      <c r="I8" s="266"/>
      <c r="J8" s="266"/>
      <c r="K8" s="266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80"/>
      <c r="AJ8" s="80"/>
      <c r="AK8" s="80"/>
      <c r="AL8" s="80"/>
      <c r="AM8" s="80"/>
      <c r="AN8" s="81"/>
      <c r="AO8" s="81"/>
    </row>
    <row r="9" spans="1:44" s="21" customFormat="1" ht="15.75" x14ac:dyDescent="0.25">
      <c r="A9" s="262" t="s">
        <v>388</v>
      </c>
      <c r="B9" s="258"/>
      <c r="C9" s="262" t="s">
        <v>476</v>
      </c>
      <c r="D9" s="39"/>
      <c r="E9" s="262"/>
      <c r="F9" s="264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80"/>
      <c r="AJ9" s="80"/>
      <c r="AK9" s="80"/>
      <c r="AL9" s="80"/>
      <c r="AM9" s="80"/>
      <c r="AN9" s="81"/>
      <c r="AO9" s="81"/>
    </row>
    <row r="10" spans="1:44" s="21" customFormat="1" ht="15.75" x14ac:dyDescent="0.25">
      <c r="A10" s="262" t="s">
        <v>389</v>
      </c>
      <c r="B10" s="258"/>
      <c r="C10" s="262" t="s">
        <v>390</v>
      </c>
      <c r="D10" s="39"/>
      <c r="E10" s="262"/>
      <c r="F10" s="264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80"/>
      <c r="AJ10" s="80"/>
      <c r="AK10" s="80"/>
      <c r="AL10" s="80"/>
      <c r="AM10" s="80"/>
      <c r="AN10" s="81"/>
      <c r="AO10" s="81"/>
    </row>
    <row r="11" spans="1:44" s="21" customFormat="1" ht="16.5" thickBot="1" x14ac:dyDescent="0.3">
      <c r="A11" s="262" t="s">
        <v>438</v>
      </c>
      <c r="B11" s="258"/>
      <c r="C11" s="262" t="s">
        <v>478</v>
      </c>
      <c r="D11" s="39"/>
      <c r="E11" s="262"/>
      <c r="F11" s="264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80"/>
      <c r="AJ11" s="80"/>
      <c r="AK11" s="80"/>
      <c r="AL11" s="80"/>
      <c r="AM11" s="80"/>
      <c r="AN11" s="81"/>
      <c r="AO11" s="81"/>
    </row>
    <row r="12" spans="1:44" s="90" customFormat="1" ht="46.5" customHeight="1" thickBot="1" x14ac:dyDescent="0.3">
      <c r="A12" s="270" t="s">
        <v>370</v>
      </c>
      <c r="B12" s="271" t="s">
        <v>371</v>
      </c>
      <c r="C12" s="137" t="s">
        <v>372</v>
      </c>
      <c r="D12" s="139" t="s">
        <v>394</v>
      </c>
      <c r="E12" s="138" t="s">
        <v>434</v>
      </c>
      <c r="F12" s="193" t="s">
        <v>373</v>
      </c>
      <c r="G12" s="93" t="s">
        <v>374</v>
      </c>
      <c r="H12" s="132" t="s">
        <v>385</v>
      </c>
      <c r="I12" s="132" t="s">
        <v>386</v>
      </c>
      <c r="J12" s="132" t="s">
        <v>387</v>
      </c>
      <c r="K12" s="132" t="s">
        <v>450</v>
      </c>
      <c r="L12" s="132" t="s">
        <v>451</v>
      </c>
      <c r="M12" s="132" t="s">
        <v>452</v>
      </c>
      <c r="N12" s="132" t="s">
        <v>453</v>
      </c>
      <c r="O12" s="132" t="s">
        <v>454</v>
      </c>
      <c r="P12" s="132" t="s">
        <v>455</v>
      </c>
      <c r="Q12" s="132" t="s">
        <v>456</v>
      </c>
      <c r="R12" s="132" t="s">
        <v>457</v>
      </c>
      <c r="S12" s="132" t="s">
        <v>458</v>
      </c>
      <c r="T12" s="132" t="s">
        <v>447</v>
      </c>
      <c r="U12" s="132" t="s">
        <v>448</v>
      </c>
      <c r="V12" s="132" t="s">
        <v>449</v>
      </c>
      <c r="W12" s="132" t="s">
        <v>464</v>
      </c>
      <c r="X12" s="132" t="s">
        <v>465</v>
      </c>
      <c r="Y12" s="132" t="s">
        <v>466</v>
      </c>
      <c r="Z12" s="132" t="s">
        <v>467</v>
      </c>
      <c r="AA12" s="132" t="s">
        <v>468</v>
      </c>
      <c r="AB12" s="132" t="s">
        <v>469</v>
      </c>
      <c r="AC12" s="132" t="s">
        <v>470</v>
      </c>
      <c r="AD12" s="132" t="s">
        <v>471</v>
      </c>
      <c r="AE12" s="132" t="s">
        <v>472</v>
      </c>
      <c r="AF12" s="132" t="s">
        <v>473</v>
      </c>
      <c r="AG12" s="132" t="s">
        <v>474</v>
      </c>
      <c r="AH12" s="132" t="s">
        <v>475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</row>
    <row r="13" spans="1:44" s="4" customFormat="1" ht="19.5" thickBot="1" x14ac:dyDescent="0.35">
      <c r="A13" s="247">
        <v>10</v>
      </c>
      <c r="B13" s="136" t="s">
        <v>186</v>
      </c>
      <c r="C13" s="106">
        <v>179795</v>
      </c>
      <c r="D13" s="277"/>
      <c r="E13" s="106"/>
      <c r="F13" s="106">
        <f>SUM(H13:AI13)</f>
        <v>179795</v>
      </c>
      <c r="G13" s="106">
        <f>IF(ISBLANK(E13),C13-F13,C13-E13)</f>
        <v>0</v>
      </c>
      <c r="H13" s="91"/>
      <c r="I13" s="99"/>
      <c r="K13" s="99"/>
      <c r="L13" s="99"/>
      <c r="M13" s="99"/>
      <c r="N13" s="99"/>
      <c r="O13" s="99"/>
      <c r="P13" s="99"/>
      <c r="Q13" s="99">
        <v>25782</v>
      </c>
      <c r="R13" s="99">
        <v>15063</v>
      </c>
      <c r="S13" s="99">
        <f>9073+26716</f>
        <v>35789</v>
      </c>
      <c r="T13" s="99"/>
      <c r="U13" s="99"/>
      <c r="V13" s="99">
        <v>72497</v>
      </c>
      <c r="W13" s="99"/>
      <c r="X13" s="99"/>
      <c r="Y13" s="99">
        <f>14309+4843</f>
        <v>19152</v>
      </c>
      <c r="Z13" s="99">
        <v>11512</v>
      </c>
      <c r="AA13" s="99"/>
      <c r="AB13" s="99"/>
      <c r="AC13" s="99"/>
      <c r="AD13" s="99"/>
      <c r="AE13" s="99"/>
      <c r="AF13" s="99"/>
      <c r="AG13" s="99"/>
      <c r="AH13" s="99"/>
      <c r="AI13" s="91"/>
    </row>
    <row r="14" spans="1:44" s="4" customFormat="1" ht="19.5" thickBot="1" x14ac:dyDescent="0.35">
      <c r="A14" s="248">
        <v>20</v>
      </c>
      <c r="B14" s="268" t="s">
        <v>187</v>
      </c>
      <c r="C14" s="106">
        <v>718743</v>
      </c>
      <c r="D14" s="278"/>
      <c r="E14" s="106"/>
      <c r="F14" s="106">
        <f t="shared" ref="F14:F77" si="0">SUM(H14:AI14)</f>
        <v>718743</v>
      </c>
      <c r="G14" s="106">
        <f t="shared" ref="G14:G77" si="1">IF(ISBLANK(E14),C14-F14,C14-E14)</f>
        <v>0</v>
      </c>
      <c r="H14" s="91"/>
      <c r="I14" s="99"/>
      <c r="K14" s="99"/>
      <c r="L14" s="99">
        <v>9498</v>
      </c>
      <c r="M14" s="99">
        <v>54520</v>
      </c>
      <c r="N14" s="99"/>
      <c r="O14" s="99">
        <v>131080</v>
      </c>
      <c r="P14" s="99">
        <v>63588</v>
      </c>
      <c r="Q14" s="99">
        <v>54624</v>
      </c>
      <c r="R14" s="99">
        <v>87624</v>
      </c>
      <c r="S14" s="99">
        <f>71715+146749</f>
        <v>218464</v>
      </c>
      <c r="T14" s="99"/>
      <c r="U14" s="99">
        <v>7919</v>
      </c>
      <c r="V14" s="99"/>
      <c r="W14" s="99">
        <v>9714</v>
      </c>
      <c r="X14" s="99">
        <v>81712</v>
      </c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1"/>
    </row>
    <row r="15" spans="1:44" s="4" customFormat="1" ht="19.5" thickBot="1" x14ac:dyDescent="0.35">
      <c r="A15" s="248">
        <v>30</v>
      </c>
      <c r="B15" s="268" t="s">
        <v>188</v>
      </c>
      <c r="C15" s="106">
        <v>366359</v>
      </c>
      <c r="D15" s="278"/>
      <c r="E15" s="106"/>
      <c r="F15" s="106">
        <f t="shared" si="0"/>
        <v>366359</v>
      </c>
      <c r="G15" s="106">
        <f t="shared" si="1"/>
        <v>0</v>
      </c>
      <c r="H15" s="91"/>
      <c r="I15" s="99"/>
      <c r="K15" s="99"/>
      <c r="L15" s="99">
        <v>27620</v>
      </c>
      <c r="M15" s="99"/>
      <c r="N15" s="99">
        <f>82909+23951</f>
        <v>106860</v>
      </c>
      <c r="O15" s="99">
        <v>32301</v>
      </c>
      <c r="P15" s="99"/>
      <c r="Q15" s="99">
        <v>81993</v>
      </c>
      <c r="R15" s="99">
        <v>31319</v>
      </c>
      <c r="S15" s="99">
        <v>32883</v>
      </c>
      <c r="T15" s="99"/>
      <c r="U15" s="99">
        <v>53133</v>
      </c>
      <c r="V15" s="99"/>
      <c r="W15" s="99"/>
      <c r="X15" s="99">
        <v>250</v>
      </c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1"/>
    </row>
    <row r="16" spans="1:44" s="4" customFormat="1" ht="19.5" thickBot="1" x14ac:dyDescent="0.35">
      <c r="A16" s="248">
        <v>40</v>
      </c>
      <c r="B16" s="268" t="s">
        <v>488</v>
      </c>
      <c r="C16" s="106">
        <v>189614</v>
      </c>
      <c r="D16" s="278"/>
      <c r="E16" s="106"/>
      <c r="F16" s="106">
        <f t="shared" si="0"/>
        <v>189614</v>
      </c>
      <c r="G16" s="106">
        <f t="shared" si="1"/>
        <v>0</v>
      </c>
      <c r="H16" s="91"/>
      <c r="I16" s="99"/>
      <c r="K16" s="99"/>
      <c r="L16" s="99"/>
      <c r="M16" s="99"/>
      <c r="N16" s="99"/>
      <c r="O16" s="99">
        <v>6040</v>
      </c>
      <c r="P16" s="99">
        <v>10209</v>
      </c>
      <c r="Q16" s="99">
        <v>12493</v>
      </c>
      <c r="R16" s="99"/>
      <c r="S16" s="99">
        <f>38900+62120</f>
        <v>101020</v>
      </c>
      <c r="T16" s="99"/>
      <c r="U16" s="99">
        <v>3558</v>
      </c>
      <c r="V16" s="99"/>
      <c r="W16" s="99"/>
      <c r="X16" s="99"/>
      <c r="Y16" s="99"/>
      <c r="Z16" s="99">
        <v>56294</v>
      </c>
      <c r="AA16" s="99"/>
      <c r="AB16" s="99"/>
      <c r="AC16" s="99"/>
      <c r="AD16" s="99"/>
      <c r="AE16" s="99"/>
      <c r="AF16" s="99"/>
      <c r="AG16" s="99"/>
      <c r="AH16" s="99"/>
      <c r="AI16" s="91"/>
    </row>
    <row r="17" spans="1:35" s="4" customFormat="1" ht="19.5" thickBot="1" x14ac:dyDescent="0.35">
      <c r="A17" s="248">
        <v>50</v>
      </c>
      <c r="B17" s="268" t="s">
        <v>190</v>
      </c>
      <c r="C17" s="106">
        <v>29396</v>
      </c>
      <c r="D17" s="278" t="s">
        <v>375</v>
      </c>
      <c r="E17" s="106">
        <f>IF(ISBLANK(D17),,C17)</f>
        <v>29396</v>
      </c>
      <c r="F17" s="106">
        <f t="shared" si="0"/>
        <v>0</v>
      </c>
      <c r="G17" s="106">
        <f t="shared" si="1"/>
        <v>0</v>
      </c>
      <c r="H17" s="91"/>
      <c r="I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1"/>
    </row>
    <row r="18" spans="1:35" s="4" customFormat="1" ht="19.5" thickBot="1" x14ac:dyDescent="0.35">
      <c r="A18" s="248">
        <v>60</v>
      </c>
      <c r="B18" s="268" t="s">
        <v>191</v>
      </c>
      <c r="C18" s="106">
        <v>9017</v>
      </c>
      <c r="D18" s="278" t="s">
        <v>375</v>
      </c>
      <c r="E18" s="106">
        <f t="shared" ref="E18:E57" si="2">IF(ISBLANK(D18),,C18)</f>
        <v>9017</v>
      </c>
      <c r="F18" s="106">
        <f t="shared" si="0"/>
        <v>0</v>
      </c>
      <c r="G18" s="106">
        <f t="shared" si="1"/>
        <v>0</v>
      </c>
      <c r="H18" s="91"/>
      <c r="I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1"/>
    </row>
    <row r="19" spans="1:35" s="4" customFormat="1" ht="19.5" thickBot="1" x14ac:dyDescent="0.35">
      <c r="A19" s="248">
        <v>70</v>
      </c>
      <c r="B19" s="268" t="s">
        <v>192</v>
      </c>
      <c r="C19" s="106">
        <v>429304</v>
      </c>
      <c r="D19" s="278"/>
      <c r="E19" s="106"/>
      <c r="F19" s="106">
        <f t="shared" si="0"/>
        <v>429304</v>
      </c>
      <c r="G19" s="106">
        <f t="shared" si="1"/>
        <v>0</v>
      </c>
      <c r="H19" s="91"/>
      <c r="I19" s="99"/>
      <c r="K19" s="99"/>
      <c r="L19" s="99"/>
      <c r="M19" s="99"/>
      <c r="N19" s="99"/>
      <c r="O19" s="99"/>
      <c r="P19" s="99"/>
      <c r="Q19" s="99">
        <v>22067</v>
      </c>
      <c r="R19" s="99">
        <v>29852</v>
      </c>
      <c r="S19" s="99">
        <v>54947</v>
      </c>
      <c r="T19" s="99">
        <v>39162</v>
      </c>
      <c r="U19" s="99">
        <v>16354</v>
      </c>
      <c r="V19" s="99">
        <v>4182</v>
      </c>
      <c r="W19" s="99">
        <v>5069</v>
      </c>
      <c r="X19" s="99">
        <v>96951</v>
      </c>
      <c r="Y19" s="99">
        <v>75526</v>
      </c>
      <c r="Z19" s="99">
        <v>46582</v>
      </c>
      <c r="AA19" s="99">
        <v>38612</v>
      </c>
      <c r="AB19" s="99"/>
      <c r="AC19" s="99"/>
      <c r="AD19" s="99"/>
      <c r="AE19" s="99"/>
      <c r="AF19" s="99"/>
      <c r="AG19" s="99"/>
      <c r="AH19" s="99"/>
      <c r="AI19" s="91"/>
    </row>
    <row r="20" spans="1:35" s="4" customFormat="1" ht="19.5" thickBot="1" x14ac:dyDescent="0.35">
      <c r="A20" s="248">
        <v>100</v>
      </c>
      <c r="B20" s="268" t="s">
        <v>193</v>
      </c>
      <c r="C20" s="106">
        <v>162772</v>
      </c>
      <c r="D20" s="278"/>
      <c r="E20" s="106"/>
      <c r="F20" s="106">
        <f t="shared" si="0"/>
        <v>162772</v>
      </c>
      <c r="G20" s="106">
        <f t="shared" si="1"/>
        <v>0</v>
      </c>
      <c r="H20" s="91"/>
      <c r="I20" s="99"/>
      <c r="K20" s="99">
        <v>1200</v>
      </c>
      <c r="L20" s="99">
        <v>6745</v>
      </c>
      <c r="M20" s="99">
        <v>5288</v>
      </c>
      <c r="N20" s="99">
        <v>6414</v>
      </c>
      <c r="O20" s="99">
        <v>5602</v>
      </c>
      <c r="P20" s="99">
        <v>6611</v>
      </c>
      <c r="Q20" s="99">
        <v>6520</v>
      </c>
      <c r="R20" s="99">
        <v>15414</v>
      </c>
      <c r="S20" s="99">
        <f>24981+9929</f>
        <v>34910</v>
      </c>
      <c r="T20" s="99"/>
      <c r="U20" s="99">
        <v>9394</v>
      </c>
      <c r="V20" s="99">
        <f>5389+3952</f>
        <v>9341</v>
      </c>
      <c r="W20" s="99"/>
      <c r="X20" s="99">
        <v>7692</v>
      </c>
      <c r="Y20" s="99">
        <v>7517</v>
      </c>
      <c r="Z20" s="99">
        <v>9343</v>
      </c>
      <c r="AA20" s="99">
        <v>9703</v>
      </c>
      <c r="AB20" s="99">
        <v>10315</v>
      </c>
      <c r="AC20" s="99">
        <v>10763</v>
      </c>
      <c r="AD20" s="99"/>
      <c r="AE20" s="99"/>
      <c r="AF20" s="99"/>
      <c r="AG20" s="99"/>
      <c r="AH20" s="99"/>
      <c r="AI20" s="91"/>
    </row>
    <row r="21" spans="1:35" s="4" customFormat="1" ht="19.5" thickBot="1" x14ac:dyDescent="0.35">
      <c r="A21" s="248">
        <v>110</v>
      </c>
      <c r="B21" s="268" t="s">
        <v>194</v>
      </c>
      <c r="C21" s="106">
        <v>13076</v>
      </c>
      <c r="D21" s="278"/>
      <c r="E21" s="106"/>
      <c r="F21" s="106">
        <f t="shared" si="0"/>
        <v>13076</v>
      </c>
      <c r="G21" s="106">
        <f t="shared" si="1"/>
        <v>0</v>
      </c>
      <c r="H21" s="91"/>
      <c r="I21" s="99"/>
      <c r="K21" s="99"/>
      <c r="L21" s="99"/>
      <c r="M21" s="99"/>
      <c r="N21" s="99"/>
      <c r="O21" s="99"/>
      <c r="P21" s="99"/>
      <c r="Q21" s="99"/>
      <c r="R21" s="99"/>
      <c r="S21" s="99"/>
      <c r="T21" s="99">
        <v>13076</v>
      </c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1"/>
    </row>
    <row r="22" spans="1:35" s="4" customFormat="1" ht="19.5" thickBot="1" x14ac:dyDescent="0.35">
      <c r="A22" s="248">
        <v>120</v>
      </c>
      <c r="B22" s="268" t="s">
        <v>195</v>
      </c>
      <c r="C22" s="106">
        <v>173915</v>
      </c>
      <c r="D22" s="278"/>
      <c r="E22" s="106"/>
      <c r="F22" s="106">
        <f t="shared" si="0"/>
        <v>173915</v>
      </c>
      <c r="G22" s="106">
        <f t="shared" si="1"/>
        <v>0</v>
      </c>
      <c r="H22" s="91"/>
      <c r="I22" s="99"/>
      <c r="K22" s="99"/>
      <c r="L22" s="99">
        <v>6328</v>
      </c>
      <c r="M22" s="99">
        <v>21261</v>
      </c>
      <c r="N22" s="99">
        <v>6257</v>
      </c>
      <c r="O22" s="99">
        <v>17112</v>
      </c>
      <c r="P22" s="99">
        <v>19289</v>
      </c>
      <c r="Q22" s="99">
        <v>7305</v>
      </c>
      <c r="R22" s="99">
        <v>2269</v>
      </c>
      <c r="S22" s="99">
        <f>41447+12181</f>
        <v>53628</v>
      </c>
      <c r="T22" s="99"/>
      <c r="U22" s="99">
        <v>1551</v>
      </c>
      <c r="V22" s="99"/>
      <c r="W22" s="99"/>
      <c r="X22" s="99">
        <v>2427</v>
      </c>
      <c r="Y22" s="99">
        <v>23611</v>
      </c>
      <c r="Z22" s="99">
        <v>4526</v>
      </c>
      <c r="AA22" s="99">
        <v>2989</v>
      </c>
      <c r="AB22" s="99">
        <v>5362</v>
      </c>
      <c r="AC22" s="99"/>
      <c r="AD22" s="99"/>
      <c r="AE22" s="99"/>
      <c r="AF22" s="99"/>
      <c r="AG22" s="99"/>
      <c r="AH22" s="99"/>
      <c r="AI22" s="91"/>
    </row>
    <row r="23" spans="1:35" s="4" customFormat="1" ht="19.5" thickBot="1" x14ac:dyDescent="0.35">
      <c r="A23" s="248">
        <v>123</v>
      </c>
      <c r="B23" s="268" t="s">
        <v>196</v>
      </c>
      <c r="C23" s="106">
        <v>87376</v>
      </c>
      <c r="D23" s="278"/>
      <c r="E23" s="106"/>
      <c r="F23" s="106">
        <f t="shared" si="0"/>
        <v>87376</v>
      </c>
      <c r="G23" s="106">
        <f t="shared" si="1"/>
        <v>0</v>
      </c>
      <c r="H23" s="91"/>
      <c r="I23" s="99"/>
      <c r="K23" s="99"/>
      <c r="L23" s="99"/>
      <c r="M23" s="99"/>
      <c r="N23" s="99"/>
      <c r="O23" s="99"/>
      <c r="P23" s="99"/>
      <c r="Q23" s="99">
        <v>12759</v>
      </c>
      <c r="R23" s="99"/>
      <c r="S23" s="99"/>
      <c r="T23" s="99">
        <v>52305</v>
      </c>
      <c r="U23" s="99"/>
      <c r="V23" s="99"/>
      <c r="W23" s="99">
        <v>831</v>
      </c>
      <c r="X23" s="99">
        <v>12545</v>
      </c>
      <c r="Y23" s="99"/>
      <c r="Z23" s="99"/>
      <c r="AA23" s="99">
        <v>8936</v>
      </c>
      <c r="AB23" s="99"/>
      <c r="AC23" s="99"/>
      <c r="AD23" s="99"/>
      <c r="AE23" s="99"/>
      <c r="AF23" s="99"/>
      <c r="AG23" s="99"/>
      <c r="AH23" s="99"/>
      <c r="AI23" s="91"/>
    </row>
    <row r="24" spans="1:35" s="4" customFormat="1" ht="19.5" thickBot="1" x14ac:dyDescent="0.35">
      <c r="A24" s="248">
        <v>130</v>
      </c>
      <c r="B24" s="268" t="s">
        <v>197</v>
      </c>
      <c r="C24" s="106">
        <v>707294</v>
      </c>
      <c r="D24" s="278"/>
      <c r="E24" s="106"/>
      <c r="F24" s="106">
        <f t="shared" si="0"/>
        <v>707294</v>
      </c>
      <c r="G24" s="106">
        <f t="shared" si="1"/>
        <v>0</v>
      </c>
      <c r="H24" s="91"/>
      <c r="I24" s="99"/>
      <c r="K24" s="99"/>
      <c r="L24" s="99"/>
      <c r="M24" s="99"/>
      <c r="N24" s="99">
        <f>95526+57954</f>
        <v>153480</v>
      </c>
      <c r="O24" s="99">
        <v>53095</v>
      </c>
      <c r="P24" s="99">
        <v>30659</v>
      </c>
      <c r="Q24" s="99">
        <v>41931</v>
      </c>
      <c r="R24" s="99">
        <v>59265</v>
      </c>
      <c r="S24" s="99">
        <v>59491</v>
      </c>
      <c r="T24" s="99"/>
      <c r="U24" s="99"/>
      <c r="V24" s="99"/>
      <c r="W24" s="99"/>
      <c r="X24" s="99"/>
      <c r="Y24" s="99">
        <v>233131</v>
      </c>
      <c r="Z24" s="99">
        <v>76242</v>
      </c>
      <c r="AA24" s="99"/>
      <c r="AB24" s="99"/>
      <c r="AC24" s="99"/>
      <c r="AD24" s="99"/>
      <c r="AE24" s="99"/>
      <c r="AF24" s="99"/>
      <c r="AG24" s="99"/>
      <c r="AH24" s="99"/>
      <c r="AI24" s="91"/>
    </row>
    <row r="25" spans="1:35" s="4" customFormat="1" ht="19.5" thickBot="1" x14ac:dyDescent="0.35">
      <c r="A25" s="248">
        <v>140</v>
      </c>
      <c r="B25" s="268" t="s">
        <v>198</v>
      </c>
      <c r="C25" s="106">
        <v>375454</v>
      </c>
      <c r="D25" s="278"/>
      <c r="E25" s="106"/>
      <c r="F25" s="106">
        <f t="shared" si="0"/>
        <v>375454</v>
      </c>
      <c r="G25" s="106">
        <f t="shared" si="1"/>
        <v>0</v>
      </c>
      <c r="H25" s="91"/>
      <c r="I25" s="99"/>
      <c r="K25" s="99"/>
      <c r="L25" s="99"/>
      <c r="M25" s="99"/>
      <c r="N25" s="99"/>
      <c r="O25" s="99"/>
      <c r="P25" s="99"/>
      <c r="Q25" s="99">
        <v>179651</v>
      </c>
      <c r="R25" s="99"/>
      <c r="S25" s="99"/>
      <c r="T25" s="99"/>
      <c r="U25" s="99">
        <v>184364</v>
      </c>
      <c r="V25" s="99"/>
      <c r="W25" s="99"/>
      <c r="X25" s="99"/>
      <c r="Y25" s="99">
        <v>11439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1"/>
    </row>
    <row r="26" spans="1:35" s="4" customFormat="1" ht="19.5" thickBot="1" x14ac:dyDescent="0.35">
      <c r="A26" s="248">
        <v>170</v>
      </c>
      <c r="B26" s="268" t="s">
        <v>199</v>
      </c>
      <c r="C26" s="106">
        <v>8014</v>
      </c>
      <c r="D26" s="278" t="s">
        <v>375</v>
      </c>
      <c r="E26" s="106">
        <f t="shared" si="2"/>
        <v>8014</v>
      </c>
      <c r="F26" s="106">
        <f t="shared" si="0"/>
        <v>0</v>
      </c>
      <c r="G26" s="106">
        <f t="shared" si="1"/>
        <v>0</v>
      </c>
      <c r="H26" s="91"/>
      <c r="I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1"/>
    </row>
    <row r="27" spans="1:35" s="4" customFormat="1" ht="19.5" thickBot="1" x14ac:dyDescent="0.35">
      <c r="A27" s="248">
        <v>180</v>
      </c>
      <c r="B27" s="268" t="s">
        <v>200</v>
      </c>
      <c r="C27" s="106">
        <v>1184425</v>
      </c>
      <c r="D27" s="278"/>
      <c r="E27" s="106"/>
      <c r="F27" s="106">
        <f t="shared" si="0"/>
        <v>1184425</v>
      </c>
      <c r="G27" s="106">
        <f t="shared" si="1"/>
        <v>0</v>
      </c>
      <c r="H27" s="91"/>
      <c r="I27" s="99"/>
      <c r="K27" s="99"/>
      <c r="L27" s="99">
        <v>112477</v>
      </c>
      <c r="M27" s="99">
        <v>92953</v>
      </c>
      <c r="N27" s="99"/>
      <c r="O27" s="99">
        <v>216119</v>
      </c>
      <c r="P27" s="99">
        <v>98531</v>
      </c>
      <c r="Q27" s="99">
        <v>92647</v>
      </c>
      <c r="R27" s="99">
        <v>114621</v>
      </c>
      <c r="S27" s="99">
        <f>93671+117776</f>
        <v>211447</v>
      </c>
      <c r="T27" s="99"/>
      <c r="U27" s="99">
        <v>94393</v>
      </c>
      <c r="V27" s="99">
        <v>27699</v>
      </c>
      <c r="W27" s="99"/>
      <c r="X27" s="99">
        <v>123538</v>
      </c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1"/>
    </row>
    <row r="28" spans="1:35" s="4" customFormat="1" ht="19.5" thickBot="1" x14ac:dyDescent="0.35">
      <c r="A28" s="248">
        <v>190</v>
      </c>
      <c r="B28" s="268" t="s">
        <v>201</v>
      </c>
      <c r="C28" s="106">
        <v>20379</v>
      </c>
      <c r="D28" s="278" t="s">
        <v>375</v>
      </c>
      <c r="E28" s="106">
        <f t="shared" si="2"/>
        <v>20379</v>
      </c>
      <c r="F28" s="106">
        <f t="shared" si="0"/>
        <v>18385</v>
      </c>
      <c r="G28" s="106">
        <f t="shared" si="1"/>
        <v>0</v>
      </c>
      <c r="H28" s="91"/>
      <c r="I28" s="99"/>
      <c r="K28" s="99"/>
      <c r="L28" s="99">
        <v>18385</v>
      </c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1"/>
    </row>
    <row r="29" spans="1:35" s="4" customFormat="1" ht="19.5" thickBot="1" x14ac:dyDescent="0.35">
      <c r="A29" s="248">
        <v>220</v>
      </c>
      <c r="B29" s="268" t="s">
        <v>202</v>
      </c>
      <c r="C29" s="106">
        <v>74417</v>
      </c>
      <c r="D29" s="278"/>
      <c r="E29" s="106"/>
      <c r="F29" s="106">
        <f t="shared" si="0"/>
        <v>74417</v>
      </c>
      <c r="G29" s="106">
        <f t="shared" si="1"/>
        <v>0</v>
      </c>
      <c r="H29" s="91"/>
      <c r="I29" s="99"/>
      <c r="K29" s="99"/>
      <c r="L29" s="99"/>
      <c r="M29" s="99"/>
      <c r="N29" s="99">
        <v>31873</v>
      </c>
      <c r="O29" s="99">
        <v>6650</v>
      </c>
      <c r="P29" s="99">
        <v>13300</v>
      </c>
      <c r="Q29" s="99">
        <v>6650</v>
      </c>
      <c r="R29" s="99">
        <v>6650</v>
      </c>
      <c r="S29" s="99">
        <v>6650</v>
      </c>
      <c r="T29" s="99"/>
      <c r="U29" s="99"/>
      <c r="V29" s="99"/>
      <c r="W29" s="99">
        <v>1980</v>
      </c>
      <c r="X29" s="99">
        <v>664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1"/>
    </row>
    <row r="30" spans="1:35" s="4" customFormat="1" ht="19.5" thickBot="1" x14ac:dyDescent="0.35">
      <c r="A30" s="248">
        <v>230</v>
      </c>
      <c r="B30" s="268" t="s">
        <v>203</v>
      </c>
      <c r="C30" s="106">
        <v>12354</v>
      </c>
      <c r="D30" s="278"/>
      <c r="E30" s="106"/>
      <c r="F30" s="106">
        <f t="shared" si="0"/>
        <v>12354</v>
      </c>
      <c r="G30" s="106">
        <f t="shared" si="1"/>
        <v>0</v>
      </c>
      <c r="H30" s="91"/>
      <c r="I30" s="99"/>
      <c r="K30" s="99"/>
      <c r="L30" s="99">
        <v>878</v>
      </c>
      <c r="M30" s="99"/>
      <c r="N30" s="99"/>
      <c r="O30" s="99"/>
      <c r="P30" s="99"/>
      <c r="Q30" s="99"/>
      <c r="R30" s="99"/>
      <c r="S30" s="99">
        <v>11476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1"/>
    </row>
    <row r="31" spans="1:35" s="4" customFormat="1" ht="19.5" thickBot="1" x14ac:dyDescent="0.35">
      <c r="A31" s="248">
        <v>240</v>
      </c>
      <c r="B31" s="268" t="s">
        <v>204</v>
      </c>
      <c r="C31" s="106">
        <v>5850</v>
      </c>
      <c r="D31" s="278"/>
      <c r="E31" s="106"/>
      <c r="F31" s="106">
        <f t="shared" si="0"/>
        <v>5850</v>
      </c>
      <c r="G31" s="106">
        <f t="shared" si="1"/>
        <v>0</v>
      </c>
      <c r="H31" s="91"/>
      <c r="I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>
        <f>4357+1493</f>
        <v>5850</v>
      </c>
      <c r="AF31" s="99"/>
      <c r="AG31" s="99"/>
      <c r="AH31" s="99"/>
      <c r="AI31" s="91"/>
    </row>
    <row r="32" spans="1:35" s="4" customFormat="1" ht="19.5" thickBot="1" x14ac:dyDescent="0.35">
      <c r="A32" s="248">
        <v>250</v>
      </c>
      <c r="B32" s="268" t="s">
        <v>205</v>
      </c>
      <c r="C32" s="106">
        <v>16824</v>
      </c>
      <c r="D32" s="278"/>
      <c r="E32" s="106"/>
      <c r="F32" s="106">
        <f t="shared" si="0"/>
        <v>16824</v>
      </c>
      <c r="G32" s="106">
        <f t="shared" si="1"/>
        <v>0</v>
      </c>
      <c r="H32" s="91"/>
      <c r="I32" s="99"/>
      <c r="K32" s="99"/>
      <c r="L32" s="99"/>
      <c r="M32" s="99"/>
      <c r="N32" s="99"/>
      <c r="O32" s="99">
        <v>1478</v>
      </c>
      <c r="P32" s="99"/>
      <c r="Q32" s="99"/>
      <c r="R32" s="99"/>
      <c r="S32" s="99">
        <f>7263+5979</f>
        <v>13242</v>
      </c>
      <c r="T32" s="99"/>
      <c r="U32" s="99"/>
      <c r="V32" s="99"/>
      <c r="W32" s="99"/>
      <c r="X32" s="99"/>
      <c r="Y32" s="99">
        <v>2104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1"/>
    </row>
    <row r="33" spans="1:35" s="4" customFormat="1" ht="19.5" thickBot="1" x14ac:dyDescent="0.35">
      <c r="A33" s="248">
        <v>260</v>
      </c>
      <c r="B33" s="268" t="s">
        <v>206</v>
      </c>
      <c r="C33" s="106">
        <v>1190</v>
      </c>
      <c r="D33" s="278"/>
      <c r="E33" s="106"/>
      <c r="F33" s="106">
        <f t="shared" si="0"/>
        <v>1190</v>
      </c>
      <c r="G33" s="106">
        <f t="shared" si="1"/>
        <v>0</v>
      </c>
      <c r="H33" s="91"/>
      <c r="I33" s="99"/>
      <c r="K33" s="99"/>
      <c r="L33" s="99"/>
      <c r="M33" s="99"/>
      <c r="N33" s="99"/>
      <c r="O33" s="99"/>
      <c r="P33" s="99">
        <v>1190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1"/>
    </row>
    <row r="34" spans="1:35" s="4" customFormat="1" ht="19.5" thickBot="1" x14ac:dyDescent="0.35">
      <c r="A34" s="248">
        <v>270</v>
      </c>
      <c r="B34" s="268" t="s">
        <v>207</v>
      </c>
      <c r="C34" s="106">
        <v>2208</v>
      </c>
      <c r="D34" s="278"/>
      <c r="E34" s="106"/>
      <c r="F34" s="106">
        <f t="shared" si="0"/>
        <v>2208</v>
      </c>
      <c r="G34" s="106">
        <f t="shared" si="1"/>
        <v>0</v>
      </c>
      <c r="H34" s="91"/>
      <c r="I34" s="99"/>
      <c r="K34" s="99">
        <v>2208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1"/>
    </row>
    <row r="35" spans="1:35" s="4" customFormat="1" ht="19.5" thickBot="1" x14ac:dyDescent="0.35">
      <c r="A35" s="248">
        <v>290</v>
      </c>
      <c r="B35" s="268" t="s">
        <v>208</v>
      </c>
      <c r="C35" s="106">
        <v>50394</v>
      </c>
      <c r="D35" s="278"/>
      <c r="E35" s="106"/>
      <c r="F35" s="106">
        <f t="shared" si="0"/>
        <v>50394</v>
      </c>
      <c r="G35" s="106">
        <f t="shared" si="1"/>
        <v>0</v>
      </c>
      <c r="H35" s="91"/>
      <c r="I35" s="99"/>
      <c r="K35" s="99"/>
      <c r="L35" s="99">
        <v>18385</v>
      </c>
      <c r="M35" s="99"/>
      <c r="N35" s="99"/>
      <c r="O35" s="99"/>
      <c r="P35" s="99"/>
      <c r="Q35" s="99"/>
      <c r="R35" s="99"/>
      <c r="S35" s="99">
        <v>32009</v>
      </c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1"/>
    </row>
    <row r="36" spans="1:35" s="4" customFormat="1" ht="19.5" thickBot="1" x14ac:dyDescent="0.35">
      <c r="A36" s="248">
        <v>310</v>
      </c>
      <c r="B36" s="268" t="s">
        <v>209</v>
      </c>
      <c r="C36" s="106">
        <v>10799</v>
      </c>
      <c r="D36" s="278"/>
      <c r="E36" s="106"/>
      <c r="F36" s="106">
        <f t="shared" si="0"/>
        <v>10799</v>
      </c>
      <c r="G36" s="106">
        <f t="shared" si="1"/>
        <v>0</v>
      </c>
      <c r="H36" s="91"/>
      <c r="I36" s="99"/>
      <c r="K36" s="99"/>
      <c r="L36" s="99"/>
      <c r="M36" s="99"/>
      <c r="N36" s="99"/>
      <c r="O36" s="99">
        <v>7887</v>
      </c>
      <c r="P36" s="99"/>
      <c r="Q36" s="99"/>
      <c r="R36" s="99"/>
      <c r="S36" s="99">
        <v>2912</v>
      </c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1"/>
    </row>
    <row r="37" spans="1:35" s="4" customFormat="1" ht="19.5" thickBot="1" x14ac:dyDescent="0.35">
      <c r="A37" s="248">
        <v>470</v>
      </c>
      <c r="B37" s="268" t="s">
        <v>210</v>
      </c>
      <c r="C37" s="106">
        <v>459805</v>
      </c>
      <c r="D37" s="278"/>
      <c r="E37" s="106"/>
      <c r="F37" s="106">
        <f t="shared" si="0"/>
        <v>459805</v>
      </c>
      <c r="G37" s="106">
        <f t="shared" si="1"/>
        <v>0</v>
      </c>
      <c r="H37" s="91"/>
      <c r="I37" s="99"/>
      <c r="K37" s="99"/>
      <c r="L37" s="99">
        <v>65144</v>
      </c>
      <c r="M37" s="99">
        <v>38877</v>
      </c>
      <c r="N37" s="99">
        <v>30082</v>
      </c>
      <c r="O37" s="99">
        <v>32182</v>
      </c>
      <c r="P37" s="99"/>
      <c r="Q37" s="99">
        <v>33675</v>
      </c>
      <c r="R37" s="99">
        <v>27258</v>
      </c>
      <c r="S37" s="99">
        <v>54561</v>
      </c>
      <c r="T37" s="99"/>
      <c r="U37" s="99"/>
      <c r="V37" s="99"/>
      <c r="W37" s="99">
        <v>83046</v>
      </c>
      <c r="X37" s="99">
        <f>37853+37852</f>
        <v>75705</v>
      </c>
      <c r="Y37" s="99"/>
      <c r="Z37" s="99">
        <v>19275</v>
      </c>
      <c r="AA37" s="99"/>
      <c r="AB37" s="99"/>
      <c r="AC37" s="99"/>
      <c r="AD37" s="99"/>
      <c r="AE37" s="99"/>
      <c r="AF37" s="99"/>
      <c r="AG37" s="99"/>
      <c r="AH37" s="99"/>
      <c r="AI37" s="91"/>
    </row>
    <row r="38" spans="1:35" s="4" customFormat="1" ht="19.5" thickBot="1" x14ac:dyDescent="0.35">
      <c r="A38" s="248">
        <v>480</v>
      </c>
      <c r="B38" s="268" t="s">
        <v>211</v>
      </c>
      <c r="C38" s="106">
        <v>692855</v>
      </c>
      <c r="D38" s="278"/>
      <c r="E38" s="106"/>
      <c r="F38" s="106">
        <f t="shared" si="0"/>
        <v>692855</v>
      </c>
      <c r="G38" s="106">
        <f t="shared" si="1"/>
        <v>0</v>
      </c>
      <c r="H38" s="91"/>
      <c r="I38" s="99"/>
      <c r="K38" s="99"/>
      <c r="L38" s="99">
        <f>119079+44664</f>
        <v>163743</v>
      </c>
      <c r="M38" s="99">
        <v>55251</v>
      </c>
      <c r="N38" s="99">
        <v>55499</v>
      </c>
      <c r="O38" s="99">
        <v>55716</v>
      </c>
      <c r="P38" s="99">
        <v>55478</v>
      </c>
      <c r="Q38" s="99">
        <v>56321</v>
      </c>
      <c r="R38" s="99">
        <v>56304</v>
      </c>
      <c r="S38" s="99">
        <v>61721</v>
      </c>
      <c r="T38" s="99">
        <v>70425</v>
      </c>
      <c r="U38" s="99">
        <v>50145</v>
      </c>
      <c r="V38" s="99">
        <v>12252</v>
      </c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1"/>
    </row>
    <row r="39" spans="1:35" s="4" customFormat="1" ht="19.5" thickBot="1" x14ac:dyDescent="0.35">
      <c r="A39" s="248">
        <v>490</v>
      </c>
      <c r="B39" s="268" t="s">
        <v>212</v>
      </c>
      <c r="C39" s="106">
        <v>36965</v>
      </c>
      <c r="D39" s="278"/>
      <c r="E39" s="106"/>
      <c r="F39" s="106">
        <f t="shared" si="0"/>
        <v>36965</v>
      </c>
      <c r="G39" s="106">
        <f t="shared" si="1"/>
        <v>0</v>
      </c>
      <c r="H39" s="91"/>
      <c r="I39" s="99"/>
      <c r="K39" s="99"/>
      <c r="L39" s="99"/>
      <c r="M39" s="99"/>
      <c r="N39" s="99">
        <v>24623</v>
      </c>
      <c r="O39" s="99"/>
      <c r="P39" s="99"/>
      <c r="Q39" s="99"/>
      <c r="R39" s="99">
        <v>12342</v>
      </c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1"/>
    </row>
    <row r="40" spans="1:35" s="4" customFormat="1" ht="19.5" thickBot="1" x14ac:dyDescent="0.35">
      <c r="A40" s="248">
        <v>500</v>
      </c>
      <c r="B40" s="268" t="s">
        <v>213</v>
      </c>
      <c r="C40" s="106">
        <v>57592</v>
      </c>
      <c r="D40" s="278"/>
      <c r="E40" s="106"/>
      <c r="F40" s="106">
        <f t="shared" si="0"/>
        <v>57592</v>
      </c>
      <c r="G40" s="106">
        <f t="shared" si="1"/>
        <v>0</v>
      </c>
      <c r="H40" s="91"/>
      <c r="I40" s="99"/>
      <c r="K40" s="99">
        <v>4301</v>
      </c>
      <c r="L40" s="99">
        <v>4715</v>
      </c>
      <c r="M40" s="99">
        <v>5364</v>
      </c>
      <c r="N40" s="99">
        <v>7720</v>
      </c>
      <c r="O40" s="99">
        <v>5047</v>
      </c>
      <c r="P40" s="99">
        <v>5604</v>
      </c>
      <c r="Q40" s="99">
        <v>5239</v>
      </c>
      <c r="R40" s="99">
        <v>4740</v>
      </c>
      <c r="S40" s="99">
        <f>4739+4740</f>
        <v>9479</v>
      </c>
      <c r="T40" s="99"/>
      <c r="U40" s="99"/>
      <c r="V40" s="99"/>
      <c r="W40" s="99"/>
      <c r="X40" s="99">
        <v>5383</v>
      </c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1"/>
    </row>
    <row r="41" spans="1:35" s="4" customFormat="1" ht="19.5" thickBot="1" x14ac:dyDescent="0.35">
      <c r="A41" s="248">
        <v>510</v>
      </c>
      <c r="B41" s="268" t="s">
        <v>489</v>
      </c>
      <c r="C41" s="293">
        <v>4770</v>
      </c>
      <c r="D41" s="278"/>
      <c r="E41" s="106"/>
      <c r="F41" s="106">
        <f t="shared" si="0"/>
        <v>0</v>
      </c>
      <c r="G41" s="106">
        <f t="shared" si="1"/>
        <v>4770</v>
      </c>
      <c r="H41" s="91"/>
      <c r="I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1"/>
    </row>
    <row r="42" spans="1:35" s="4" customFormat="1" ht="19.5" thickBot="1" x14ac:dyDescent="0.35">
      <c r="A42" s="248">
        <v>520</v>
      </c>
      <c r="B42" s="268" t="s">
        <v>215</v>
      </c>
      <c r="C42" s="106">
        <v>11767</v>
      </c>
      <c r="D42" s="278" t="s">
        <v>375</v>
      </c>
      <c r="E42" s="106">
        <f t="shared" si="2"/>
        <v>11767</v>
      </c>
      <c r="F42" s="106">
        <f t="shared" si="0"/>
        <v>0</v>
      </c>
      <c r="G42" s="106">
        <f t="shared" si="1"/>
        <v>0</v>
      </c>
      <c r="H42" s="91"/>
      <c r="I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1"/>
    </row>
    <row r="43" spans="1:35" s="4" customFormat="1" ht="19.5" thickBot="1" x14ac:dyDescent="0.35">
      <c r="A43" s="248">
        <v>540</v>
      </c>
      <c r="B43" s="268" t="s">
        <v>216</v>
      </c>
      <c r="C43" s="106">
        <v>38328</v>
      </c>
      <c r="D43" s="278"/>
      <c r="E43" s="106"/>
      <c r="F43" s="106">
        <f t="shared" si="0"/>
        <v>38328</v>
      </c>
      <c r="G43" s="106">
        <f t="shared" si="1"/>
        <v>0</v>
      </c>
      <c r="H43" s="91"/>
      <c r="I43" s="99"/>
      <c r="K43" s="99"/>
      <c r="L43" s="99"/>
      <c r="M43" s="99"/>
      <c r="N43" s="99"/>
      <c r="O43" s="99"/>
      <c r="P43" s="99"/>
      <c r="Q43" s="99">
        <v>8019</v>
      </c>
      <c r="R43" s="99"/>
      <c r="S43" s="99"/>
      <c r="T43" s="99"/>
      <c r="U43" s="99">
        <f>9319+5871</f>
        <v>15190</v>
      </c>
      <c r="V43" s="99"/>
      <c r="W43" s="99"/>
      <c r="X43" s="99"/>
      <c r="Y43" s="99"/>
      <c r="Z43" s="99">
        <v>5094</v>
      </c>
      <c r="AA43" s="99"/>
      <c r="AB43" s="99"/>
      <c r="AC43" s="99">
        <v>3989</v>
      </c>
      <c r="AD43" s="99"/>
      <c r="AE43" s="99"/>
      <c r="AF43" s="99"/>
      <c r="AG43" s="99">
        <v>6036</v>
      </c>
      <c r="AH43" s="99"/>
      <c r="AI43" s="91"/>
    </row>
    <row r="44" spans="1:35" s="4" customFormat="1" ht="19.5" thickBot="1" x14ac:dyDescent="0.35">
      <c r="A44" s="248">
        <v>550</v>
      </c>
      <c r="B44" s="268" t="s">
        <v>217</v>
      </c>
      <c r="C44" s="106">
        <v>71758</v>
      </c>
      <c r="D44" s="278"/>
      <c r="E44" s="106"/>
      <c r="F44" s="106">
        <f t="shared" si="0"/>
        <v>71758</v>
      </c>
      <c r="G44" s="106">
        <f t="shared" si="1"/>
        <v>0</v>
      </c>
      <c r="H44" s="91"/>
      <c r="I44" s="99"/>
      <c r="K44" s="99"/>
      <c r="L44" s="99">
        <v>9007</v>
      </c>
      <c r="M44" s="99">
        <v>17962</v>
      </c>
      <c r="N44" s="99"/>
      <c r="O44" s="99">
        <v>9006</v>
      </c>
      <c r="P44" s="99"/>
      <c r="Q44" s="99">
        <v>9062</v>
      </c>
      <c r="R44" s="99">
        <v>5039</v>
      </c>
      <c r="S44" s="99">
        <v>4641</v>
      </c>
      <c r="T44" s="99">
        <v>4671</v>
      </c>
      <c r="U44" s="99">
        <v>5036</v>
      </c>
      <c r="V44" s="99">
        <v>7334</v>
      </c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1"/>
    </row>
    <row r="45" spans="1:35" s="4" customFormat="1" ht="19.5" thickBot="1" x14ac:dyDescent="0.35">
      <c r="A45" s="248">
        <v>560</v>
      </c>
      <c r="B45" s="268" t="s">
        <v>218</v>
      </c>
      <c r="C45" s="106">
        <v>23755</v>
      </c>
      <c r="D45" s="278"/>
      <c r="E45" s="106"/>
      <c r="F45" s="106">
        <f t="shared" si="0"/>
        <v>23755</v>
      </c>
      <c r="G45" s="106">
        <f t="shared" si="1"/>
        <v>0</v>
      </c>
      <c r="H45" s="91"/>
      <c r="I45" s="99"/>
      <c r="K45" s="99"/>
      <c r="L45" s="99"/>
      <c r="M45" s="99"/>
      <c r="N45" s="99"/>
      <c r="O45" s="99"/>
      <c r="P45" s="99"/>
      <c r="Q45" s="99"/>
      <c r="R45" s="99"/>
      <c r="S45" s="99">
        <v>23755</v>
      </c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1"/>
    </row>
    <row r="46" spans="1:35" s="4" customFormat="1" ht="19.5" thickBot="1" x14ac:dyDescent="0.35">
      <c r="A46" s="248">
        <v>580</v>
      </c>
      <c r="B46" s="268" t="s">
        <v>219</v>
      </c>
      <c r="C46" s="106">
        <v>34407</v>
      </c>
      <c r="D46" s="278"/>
      <c r="E46" s="106"/>
      <c r="F46" s="106">
        <f t="shared" si="0"/>
        <v>34407</v>
      </c>
      <c r="G46" s="106">
        <f t="shared" si="1"/>
        <v>0</v>
      </c>
      <c r="H46" s="91"/>
      <c r="I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>
        <f>2812+2866+3103</f>
        <v>8781</v>
      </c>
      <c r="Y46" s="99"/>
      <c r="Z46" s="99">
        <f>2608</f>
        <v>2608</v>
      </c>
      <c r="AA46" s="99">
        <v>2415</v>
      </c>
      <c r="AB46" s="99">
        <v>3324</v>
      </c>
      <c r="AC46" s="99">
        <f>2866+3103</f>
        <v>5969</v>
      </c>
      <c r="AD46" s="99">
        <v>2875</v>
      </c>
      <c r="AE46" s="99">
        <v>2866</v>
      </c>
      <c r="AF46" s="99">
        <v>2886</v>
      </c>
      <c r="AG46" s="99">
        <v>2683</v>
      </c>
      <c r="AH46" s="99"/>
      <c r="AI46" s="91"/>
    </row>
    <row r="47" spans="1:35" s="4" customFormat="1" ht="19.5" thickBot="1" x14ac:dyDescent="0.35">
      <c r="A47" s="248">
        <v>640</v>
      </c>
      <c r="B47" s="61" t="s">
        <v>220</v>
      </c>
      <c r="C47" s="106">
        <v>37567</v>
      </c>
      <c r="D47" s="278"/>
      <c r="E47" s="106"/>
      <c r="F47" s="106">
        <f t="shared" si="0"/>
        <v>37567</v>
      </c>
      <c r="G47" s="106">
        <f t="shared" si="1"/>
        <v>0</v>
      </c>
      <c r="H47" s="91"/>
      <c r="I47" s="99"/>
      <c r="K47" s="99"/>
      <c r="L47" s="99"/>
      <c r="M47" s="99"/>
      <c r="N47" s="99"/>
      <c r="O47" s="99"/>
      <c r="P47" s="99"/>
      <c r="Q47" s="99"/>
      <c r="R47" s="99"/>
      <c r="S47" s="99">
        <f>294+20344</f>
        <v>20638</v>
      </c>
      <c r="T47" s="99"/>
      <c r="U47" s="99"/>
      <c r="V47" s="99"/>
      <c r="W47" s="99"/>
      <c r="X47" s="99"/>
      <c r="Y47" s="99">
        <v>6139</v>
      </c>
      <c r="Z47" s="99">
        <v>2146</v>
      </c>
      <c r="AA47" s="99"/>
      <c r="AB47" s="99">
        <v>8644</v>
      </c>
      <c r="AC47" s="99"/>
      <c r="AD47" s="99"/>
      <c r="AE47" s="99"/>
      <c r="AF47" s="99"/>
      <c r="AG47" s="99"/>
      <c r="AH47" s="99"/>
      <c r="AI47" s="91"/>
    </row>
    <row r="48" spans="1:35" s="4" customFormat="1" ht="19.5" thickBot="1" x14ac:dyDescent="0.35">
      <c r="A48" s="248">
        <v>740</v>
      </c>
      <c r="B48" s="268" t="s">
        <v>221</v>
      </c>
      <c r="C48" s="106">
        <v>25351</v>
      </c>
      <c r="D48" s="278"/>
      <c r="E48" s="106"/>
      <c r="F48" s="106">
        <f t="shared" si="0"/>
        <v>25351</v>
      </c>
      <c r="G48" s="106">
        <f t="shared" si="1"/>
        <v>0</v>
      </c>
      <c r="H48" s="91"/>
      <c r="I48" s="99"/>
      <c r="K48" s="99"/>
      <c r="L48" s="99"/>
      <c r="M48" s="99">
        <v>5958</v>
      </c>
      <c r="N48" s="99"/>
      <c r="O48" s="99">
        <v>4995</v>
      </c>
      <c r="P48" s="99">
        <v>2520</v>
      </c>
      <c r="Q48" s="99"/>
      <c r="R48" s="99">
        <v>5033</v>
      </c>
      <c r="S48" s="99"/>
      <c r="T48" s="99">
        <v>5008</v>
      </c>
      <c r="U48" s="99"/>
      <c r="V48" s="99"/>
      <c r="W48" s="99"/>
      <c r="X48" s="99">
        <v>1837</v>
      </c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1"/>
    </row>
    <row r="49" spans="1:35" s="4" customFormat="1" ht="19.5" thickBot="1" x14ac:dyDescent="0.35">
      <c r="A49" s="248">
        <v>770</v>
      </c>
      <c r="B49" s="268" t="s">
        <v>222</v>
      </c>
      <c r="C49" s="106">
        <v>45667</v>
      </c>
      <c r="D49" s="278"/>
      <c r="E49" s="106"/>
      <c r="F49" s="106">
        <f t="shared" si="0"/>
        <v>45667</v>
      </c>
      <c r="G49" s="106">
        <f t="shared" si="1"/>
        <v>0</v>
      </c>
      <c r="H49" s="91"/>
      <c r="I49" s="99"/>
      <c r="K49" s="99"/>
      <c r="L49" s="99"/>
      <c r="M49" s="99"/>
      <c r="N49" s="99"/>
      <c r="O49" s="99"/>
      <c r="P49" s="99"/>
      <c r="Q49" s="99"/>
      <c r="R49" s="99"/>
      <c r="S49" s="99">
        <v>10247</v>
      </c>
      <c r="T49" s="99"/>
      <c r="U49" s="99"/>
      <c r="V49" s="99"/>
      <c r="W49" s="99">
        <v>12021</v>
      </c>
      <c r="X49" s="99"/>
      <c r="Y49" s="99"/>
      <c r="Z49" s="99"/>
      <c r="AA49" s="99">
        <v>8772</v>
      </c>
      <c r="AB49" s="99"/>
      <c r="AC49" s="99"/>
      <c r="AD49" s="99"/>
      <c r="AE49" s="99">
        <v>14627</v>
      </c>
      <c r="AF49" s="99"/>
      <c r="AG49" s="99"/>
      <c r="AH49" s="99"/>
      <c r="AI49" s="91"/>
    </row>
    <row r="50" spans="1:35" s="4" customFormat="1" ht="19.5" thickBot="1" x14ac:dyDescent="0.35">
      <c r="A50" s="248">
        <v>860</v>
      </c>
      <c r="B50" s="268" t="s">
        <v>223</v>
      </c>
      <c r="C50" s="106">
        <v>27999</v>
      </c>
      <c r="D50" s="278"/>
      <c r="E50" s="106"/>
      <c r="F50" s="106">
        <f t="shared" si="0"/>
        <v>27999</v>
      </c>
      <c r="G50" s="106">
        <f t="shared" si="1"/>
        <v>0</v>
      </c>
      <c r="H50" s="91"/>
      <c r="I50" s="99"/>
      <c r="K50" s="99"/>
      <c r="L50" s="99"/>
      <c r="M50" s="99"/>
      <c r="N50" s="99"/>
      <c r="O50" s="99"/>
      <c r="P50" s="99"/>
      <c r="Q50" s="99"/>
      <c r="R50" s="99"/>
      <c r="S50" s="99">
        <v>27999</v>
      </c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1"/>
    </row>
    <row r="51" spans="1:35" s="4" customFormat="1" ht="19.5" thickBot="1" x14ac:dyDescent="0.35">
      <c r="A51" s="248">
        <v>870</v>
      </c>
      <c r="B51" s="268" t="s">
        <v>224</v>
      </c>
      <c r="C51" s="106">
        <v>220028</v>
      </c>
      <c r="D51" s="278"/>
      <c r="E51" s="106"/>
      <c r="F51" s="106">
        <f t="shared" si="0"/>
        <v>220028</v>
      </c>
      <c r="G51" s="106">
        <f t="shared" si="1"/>
        <v>0</v>
      </c>
      <c r="H51" s="91"/>
      <c r="I51" s="99"/>
      <c r="K51" s="99"/>
      <c r="L51" s="99">
        <v>22504</v>
      </c>
      <c r="M51" s="99"/>
      <c r="N51" s="99">
        <v>38505</v>
      </c>
      <c r="O51" s="99">
        <v>18684</v>
      </c>
      <c r="P51" s="99">
        <v>18682</v>
      </c>
      <c r="Q51" s="99">
        <v>18678</v>
      </c>
      <c r="R51" s="99">
        <v>19388</v>
      </c>
      <c r="S51" s="99">
        <v>18659</v>
      </c>
      <c r="T51" s="99">
        <v>46598</v>
      </c>
      <c r="U51" s="99"/>
      <c r="V51" s="99"/>
      <c r="W51" s="99"/>
      <c r="X51" s="99">
        <v>18330</v>
      </c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1"/>
    </row>
    <row r="52" spans="1:35" s="4" customFormat="1" ht="19.5" thickBot="1" x14ac:dyDescent="0.35">
      <c r="A52" s="248">
        <v>880</v>
      </c>
      <c r="B52" s="268" t="s">
        <v>225</v>
      </c>
      <c r="C52" s="106">
        <v>4082306</v>
      </c>
      <c r="D52" s="278"/>
      <c r="E52" s="106"/>
      <c r="F52" s="106">
        <f t="shared" si="0"/>
        <v>4082306</v>
      </c>
      <c r="G52" s="106">
        <f t="shared" si="1"/>
        <v>0</v>
      </c>
      <c r="H52" s="91"/>
      <c r="I52" s="99"/>
      <c r="K52" s="99"/>
      <c r="L52" s="99"/>
      <c r="M52" s="99"/>
      <c r="N52" s="99">
        <v>281500</v>
      </c>
      <c r="O52" s="99">
        <v>353525</v>
      </c>
      <c r="P52" s="99">
        <v>274246</v>
      </c>
      <c r="Q52" s="99">
        <v>387231</v>
      </c>
      <c r="R52" s="99"/>
      <c r="S52" s="99">
        <v>944952</v>
      </c>
      <c r="T52" s="99"/>
      <c r="U52" s="99">
        <v>423295</v>
      </c>
      <c r="V52" s="99">
        <v>109050</v>
      </c>
      <c r="W52" s="99"/>
      <c r="X52" s="99">
        <v>299796</v>
      </c>
      <c r="Y52" s="99">
        <v>728754</v>
      </c>
      <c r="Z52" s="99"/>
      <c r="AA52" s="99">
        <v>279957</v>
      </c>
      <c r="AB52" s="99"/>
      <c r="AC52" s="99"/>
      <c r="AD52" s="99"/>
      <c r="AE52" s="99"/>
      <c r="AF52" s="99"/>
      <c r="AG52" s="99"/>
      <c r="AH52" s="99"/>
      <c r="AI52" s="91"/>
    </row>
    <row r="53" spans="1:35" s="4" customFormat="1" ht="19.5" thickBot="1" x14ac:dyDescent="0.35">
      <c r="A53" s="248">
        <v>890</v>
      </c>
      <c r="B53" s="268" t="s">
        <v>226</v>
      </c>
      <c r="C53" s="106">
        <v>14630</v>
      </c>
      <c r="D53" s="279"/>
      <c r="E53" s="106"/>
      <c r="F53" s="106">
        <f t="shared" si="0"/>
        <v>14630</v>
      </c>
      <c r="G53" s="106">
        <f t="shared" si="1"/>
        <v>0</v>
      </c>
      <c r="H53" s="91"/>
      <c r="I53" s="99"/>
      <c r="K53" s="99"/>
      <c r="L53" s="99"/>
      <c r="M53" s="99"/>
      <c r="N53" s="99"/>
      <c r="O53" s="99"/>
      <c r="P53" s="99">
        <v>12968</v>
      </c>
      <c r="Q53" s="99"/>
      <c r="R53" s="99">
        <v>1662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1"/>
    </row>
    <row r="54" spans="1:35" s="4" customFormat="1" ht="19.5" thickBot="1" x14ac:dyDescent="0.35">
      <c r="A54" s="248">
        <v>900</v>
      </c>
      <c r="B54" s="268" t="s">
        <v>227</v>
      </c>
      <c r="C54" s="106">
        <v>469686</v>
      </c>
      <c r="D54" s="278"/>
      <c r="E54" s="106"/>
      <c r="F54" s="106">
        <f t="shared" si="0"/>
        <v>469686</v>
      </c>
      <c r="G54" s="106">
        <f t="shared" si="1"/>
        <v>0</v>
      </c>
      <c r="H54" s="91"/>
      <c r="I54" s="99"/>
      <c r="K54" s="99"/>
      <c r="L54" s="99"/>
      <c r="M54" s="99"/>
      <c r="N54" s="99"/>
      <c r="O54" s="99">
        <v>240842</v>
      </c>
      <c r="P54" s="99">
        <v>12879</v>
      </c>
      <c r="Q54" s="99">
        <v>16179</v>
      </c>
      <c r="R54" s="99">
        <v>12557</v>
      </c>
      <c r="S54" s="99">
        <v>39479</v>
      </c>
      <c r="T54" s="99">
        <v>101288</v>
      </c>
      <c r="U54" s="99"/>
      <c r="V54" s="99">
        <v>6647</v>
      </c>
      <c r="W54" s="99"/>
      <c r="X54" s="99">
        <v>9803</v>
      </c>
      <c r="Y54" s="99">
        <v>4008</v>
      </c>
      <c r="Z54" s="99">
        <v>26004</v>
      </c>
      <c r="AA54" s="99"/>
      <c r="AB54" s="99"/>
      <c r="AC54" s="99"/>
      <c r="AD54" s="99"/>
      <c r="AE54" s="99"/>
      <c r="AF54" s="99"/>
      <c r="AG54" s="99"/>
      <c r="AH54" s="99"/>
      <c r="AI54" s="91"/>
    </row>
    <row r="55" spans="1:35" s="4" customFormat="1" ht="19.5" thickBot="1" x14ac:dyDescent="0.35">
      <c r="A55" s="248">
        <v>910</v>
      </c>
      <c r="B55" s="268" t="s">
        <v>228</v>
      </c>
      <c r="C55" s="106">
        <v>105318</v>
      </c>
      <c r="D55" s="278"/>
      <c r="E55" s="106"/>
      <c r="F55" s="106">
        <f t="shared" si="0"/>
        <v>105318</v>
      </c>
      <c r="G55" s="106">
        <f t="shared" si="1"/>
        <v>0</v>
      </c>
      <c r="H55" s="91"/>
      <c r="I55" s="99"/>
      <c r="K55" s="99"/>
      <c r="L55" s="99"/>
      <c r="M55" s="99">
        <v>94823</v>
      </c>
      <c r="N55" s="99"/>
      <c r="O55" s="99"/>
      <c r="P55" s="99"/>
      <c r="Q55" s="99"/>
      <c r="R55" s="99"/>
      <c r="S55" s="99"/>
      <c r="T55" s="99"/>
      <c r="U55" s="99">
        <v>10495</v>
      </c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1"/>
    </row>
    <row r="56" spans="1:35" s="4" customFormat="1" ht="19.5" thickBot="1" x14ac:dyDescent="0.35">
      <c r="A56" s="248">
        <v>920</v>
      </c>
      <c r="B56" s="268" t="s">
        <v>229</v>
      </c>
      <c r="C56" s="106">
        <v>42245</v>
      </c>
      <c r="D56" s="278"/>
      <c r="E56" s="106"/>
      <c r="F56" s="106">
        <f t="shared" si="0"/>
        <v>42245</v>
      </c>
      <c r="G56" s="106">
        <f t="shared" si="1"/>
        <v>0</v>
      </c>
      <c r="H56" s="91"/>
      <c r="I56" s="99"/>
      <c r="K56" s="99"/>
      <c r="L56" s="99"/>
      <c r="M56" s="99"/>
      <c r="N56" s="99"/>
      <c r="O56" s="99">
        <v>27895</v>
      </c>
      <c r="P56" s="99"/>
      <c r="Q56" s="99"/>
      <c r="R56" s="99"/>
      <c r="S56" s="99">
        <f>11042+3308</f>
        <v>14350</v>
      </c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1"/>
    </row>
    <row r="57" spans="1:35" s="4" customFormat="1" ht="19.5" thickBot="1" x14ac:dyDescent="0.35">
      <c r="A57" s="248">
        <v>930</v>
      </c>
      <c r="B57" s="268" t="s">
        <v>230</v>
      </c>
      <c r="C57" s="106">
        <v>9779</v>
      </c>
      <c r="D57" s="278" t="s">
        <v>375</v>
      </c>
      <c r="E57" s="106">
        <f t="shared" si="2"/>
        <v>9779</v>
      </c>
      <c r="F57" s="106">
        <f t="shared" si="0"/>
        <v>0</v>
      </c>
      <c r="G57" s="106">
        <f t="shared" si="1"/>
        <v>0</v>
      </c>
      <c r="H57" s="91"/>
      <c r="I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1"/>
    </row>
    <row r="58" spans="1:35" s="4" customFormat="1" ht="19.5" thickBot="1" x14ac:dyDescent="0.35">
      <c r="A58" s="248">
        <v>940</v>
      </c>
      <c r="B58" s="268" t="s">
        <v>231</v>
      </c>
      <c r="C58" s="106">
        <v>23736</v>
      </c>
      <c r="D58" s="278"/>
      <c r="E58" s="106"/>
      <c r="F58" s="106">
        <f t="shared" si="0"/>
        <v>23736</v>
      </c>
      <c r="G58" s="106">
        <f t="shared" si="1"/>
        <v>0</v>
      </c>
      <c r="H58" s="91"/>
      <c r="I58" s="99"/>
      <c r="K58" s="99"/>
      <c r="L58" s="99"/>
      <c r="M58" s="99"/>
      <c r="N58" s="99"/>
      <c r="O58" s="99"/>
      <c r="P58" s="99"/>
      <c r="Q58" s="99"/>
      <c r="R58" s="99"/>
      <c r="S58" s="99">
        <f>23531+205</f>
        <v>23736</v>
      </c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1"/>
    </row>
    <row r="59" spans="1:35" s="4" customFormat="1" ht="19.5" thickBot="1" x14ac:dyDescent="0.35">
      <c r="A59" s="248">
        <v>950</v>
      </c>
      <c r="B59" s="268" t="s">
        <v>232</v>
      </c>
      <c r="C59" s="106">
        <v>2702</v>
      </c>
      <c r="D59" s="278"/>
      <c r="E59" s="106"/>
      <c r="F59" s="106">
        <f t="shared" si="0"/>
        <v>2702</v>
      </c>
      <c r="G59" s="106">
        <f t="shared" si="1"/>
        <v>0</v>
      </c>
      <c r="H59" s="91"/>
      <c r="I59" s="99"/>
      <c r="K59" s="99"/>
      <c r="L59" s="99"/>
      <c r="M59" s="99"/>
      <c r="N59" s="99"/>
      <c r="O59" s="99"/>
      <c r="P59" s="99"/>
      <c r="Q59" s="99"/>
      <c r="R59" s="99"/>
      <c r="S59" s="99">
        <v>2702</v>
      </c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1"/>
    </row>
    <row r="60" spans="1:35" s="4" customFormat="1" ht="19.5" thickBot="1" x14ac:dyDescent="0.35">
      <c r="A60" s="248">
        <v>960</v>
      </c>
      <c r="B60" s="268" t="s">
        <v>233</v>
      </c>
      <c r="C60" s="106">
        <v>1037</v>
      </c>
      <c r="D60" s="278" t="s">
        <v>375</v>
      </c>
      <c r="E60" s="106">
        <v>1037</v>
      </c>
      <c r="F60" s="106">
        <f t="shared" si="0"/>
        <v>0</v>
      </c>
      <c r="G60" s="106">
        <f t="shared" si="1"/>
        <v>0</v>
      </c>
      <c r="H60" s="91"/>
      <c r="I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1"/>
    </row>
    <row r="61" spans="1:35" s="4" customFormat="1" ht="19.5" thickBot="1" x14ac:dyDescent="0.35">
      <c r="A61" s="248">
        <v>970</v>
      </c>
      <c r="B61" s="268" t="s">
        <v>234</v>
      </c>
      <c r="C61" s="106">
        <v>13166</v>
      </c>
      <c r="D61" s="278"/>
      <c r="E61" s="106"/>
      <c r="F61" s="106">
        <f t="shared" si="0"/>
        <v>10193</v>
      </c>
      <c r="G61" s="106">
        <f t="shared" si="1"/>
        <v>2973</v>
      </c>
      <c r="H61" s="91"/>
      <c r="I61" s="99"/>
      <c r="K61" s="99"/>
      <c r="L61" s="99"/>
      <c r="M61" s="99"/>
      <c r="N61" s="99"/>
      <c r="O61" s="99"/>
      <c r="P61" s="99">
        <v>1015</v>
      </c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v>9178</v>
      </c>
      <c r="AH61" s="99"/>
      <c r="AI61" s="91"/>
    </row>
    <row r="62" spans="1:35" s="4" customFormat="1" ht="19.5" thickBot="1" x14ac:dyDescent="0.35">
      <c r="A62" s="248">
        <v>980</v>
      </c>
      <c r="B62" s="268" t="s">
        <v>235</v>
      </c>
      <c r="C62" s="106">
        <v>574760</v>
      </c>
      <c r="D62" s="278"/>
      <c r="E62" s="106"/>
      <c r="F62" s="106">
        <f t="shared" si="0"/>
        <v>574760</v>
      </c>
      <c r="G62" s="106">
        <f t="shared" si="1"/>
        <v>0</v>
      </c>
      <c r="H62" s="91"/>
      <c r="I62" s="99"/>
      <c r="K62" s="99">
        <v>182941</v>
      </c>
      <c r="L62" s="99">
        <v>15465</v>
      </c>
      <c r="M62" s="99">
        <v>21720</v>
      </c>
      <c r="N62" s="99">
        <v>21721</v>
      </c>
      <c r="O62" s="99">
        <v>40894</v>
      </c>
      <c r="P62" s="99">
        <v>22401</v>
      </c>
      <c r="Q62" s="99">
        <v>49852</v>
      </c>
      <c r="R62" s="99">
        <v>22668</v>
      </c>
      <c r="S62" s="99">
        <f>36859+24476</f>
        <v>61335</v>
      </c>
      <c r="T62" s="99"/>
      <c r="U62" s="99"/>
      <c r="V62" s="99">
        <v>20662</v>
      </c>
      <c r="W62" s="99">
        <v>2256</v>
      </c>
      <c r="X62" s="99">
        <v>20312</v>
      </c>
      <c r="Y62" s="99">
        <v>49825</v>
      </c>
      <c r="Z62" s="99">
        <v>39369</v>
      </c>
      <c r="AA62" s="99">
        <v>3339</v>
      </c>
      <c r="AB62" s="99"/>
      <c r="AC62" s="99"/>
      <c r="AD62" s="99"/>
      <c r="AE62" s="99"/>
      <c r="AF62" s="99"/>
      <c r="AG62" s="99"/>
      <c r="AH62" s="99"/>
      <c r="AI62" s="91"/>
    </row>
    <row r="63" spans="1:35" s="4" customFormat="1" ht="19.5" thickBot="1" x14ac:dyDescent="0.35">
      <c r="A63" s="248">
        <v>990</v>
      </c>
      <c r="B63" s="268" t="s">
        <v>236</v>
      </c>
      <c r="C63" s="106">
        <v>248732</v>
      </c>
      <c r="D63" s="278"/>
      <c r="E63" s="106"/>
      <c r="F63" s="106">
        <f t="shared" si="0"/>
        <v>248732</v>
      </c>
      <c r="G63" s="106">
        <f t="shared" si="1"/>
        <v>0</v>
      </c>
      <c r="H63" s="91"/>
      <c r="I63" s="99"/>
      <c r="K63" s="99">
        <v>19500</v>
      </c>
      <c r="L63" s="99">
        <v>18593</v>
      </c>
      <c r="M63" s="99">
        <v>18258</v>
      </c>
      <c r="N63" s="99"/>
      <c r="O63" s="99">
        <v>37314</v>
      </c>
      <c r="P63" s="99">
        <v>23414</v>
      </c>
      <c r="Q63" s="99">
        <v>18715</v>
      </c>
      <c r="R63" s="99">
        <v>18716</v>
      </c>
      <c r="S63" s="99">
        <v>18750</v>
      </c>
      <c r="T63" s="99"/>
      <c r="U63" s="99"/>
      <c r="V63" s="99">
        <v>59578</v>
      </c>
      <c r="W63" s="99"/>
      <c r="X63" s="99">
        <v>15894</v>
      </c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1"/>
    </row>
    <row r="64" spans="1:35" s="4" customFormat="1" ht="19.5" thickBot="1" x14ac:dyDescent="0.35">
      <c r="A64" s="248">
        <v>1000</v>
      </c>
      <c r="B64" s="268" t="s">
        <v>237</v>
      </c>
      <c r="C64" s="106">
        <v>154501</v>
      </c>
      <c r="D64" s="278"/>
      <c r="E64" s="106"/>
      <c r="F64" s="106">
        <f t="shared" si="0"/>
        <v>154501</v>
      </c>
      <c r="G64" s="106">
        <f t="shared" si="1"/>
        <v>0</v>
      </c>
      <c r="H64" s="91"/>
      <c r="I64" s="99"/>
      <c r="K64" s="99">
        <v>9517</v>
      </c>
      <c r="L64" s="99">
        <v>12139</v>
      </c>
      <c r="M64" s="99">
        <v>11804</v>
      </c>
      <c r="N64" s="99">
        <v>11718</v>
      </c>
      <c r="O64" s="99">
        <v>11607</v>
      </c>
      <c r="P64" s="99">
        <v>11580</v>
      </c>
      <c r="Q64" s="99">
        <v>11551</v>
      </c>
      <c r="R64" s="99"/>
      <c r="S64" s="99">
        <v>74585</v>
      </c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1"/>
    </row>
    <row r="65" spans="1:35" s="4" customFormat="1" ht="19.5" thickBot="1" x14ac:dyDescent="0.35">
      <c r="A65" s="248">
        <v>1010</v>
      </c>
      <c r="B65" s="268" t="s">
        <v>238</v>
      </c>
      <c r="C65" s="106">
        <v>1253894</v>
      </c>
      <c r="D65" s="278"/>
      <c r="E65" s="106"/>
      <c r="F65" s="106">
        <f t="shared" si="0"/>
        <v>1253894</v>
      </c>
      <c r="G65" s="106">
        <f t="shared" si="1"/>
        <v>0</v>
      </c>
      <c r="H65" s="91"/>
      <c r="I65" s="99"/>
      <c r="K65" s="99"/>
      <c r="L65" s="99"/>
      <c r="M65" s="99"/>
      <c r="N65" s="99"/>
      <c r="O65" s="99"/>
      <c r="P65" s="99"/>
      <c r="Q65" s="99">
        <v>23095</v>
      </c>
      <c r="R65" s="99">
        <v>97366</v>
      </c>
      <c r="S65" s="99">
        <f>145575+156552</f>
        <v>302127</v>
      </c>
      <c r="T65" s="99"/>
      <c r="U65" s="99">
        <v>217514</v>
      </c>
      <c r="V65" s="99"/>
      <c r="W65" s="99"/>
      <c r="X65" s="99">
        <v>113894</v>
      </c>
      <c r="Y65" s="99">
        <v>90423</v>
      </c>
      <c r="Z65" s="99">
        <v>106490</v>
      </c>
      <c r="AA65" s="99"/>
      <c r="AB65" s="99">
        <v>223686</v>
      </c>
      <c r="AC65" s="99">
        <v>79299</v>
      </c>
      <c r="AD65" s="99"/>
      <c r="AE65" s="99"/>
      <c r="AF65" s="99"/>
      <c r="AG65" s="99"/>
      <c r="AH65" s="99"/>
      <c r="AI65" s="91"/>
    </row>
    <row r="66" spans="1:35" s="4" customFormat="1" ht="19.5" thickBot="1" x14ac:dyDescent="0.35">
      <c r="A66" s="248">
        <v>1020</v>
      </c>
      <c r="B66" s="268" t="s">
        <v>239</v>
      </c>
      <c r="C66" s="106">
        <v>65782</v>
      </c>
      <c r="D66" s="278"/>
      <c r="E66" s="106"/>
      <c r="F66" s="106">
        <f t="shared" si="0"/>
        <v>65782</v>
      </c>
      <c r="G66" s="106">
        <f t="shared" si="1"/>
        <v>0</v>
      </c>
      <c r="H66" s="91"/>
      <c r="I66" s="99"/>
      <c r="K66" s="99"/>
      <c r="L66" s="99"/>
      <c r="M66" s="99"/>
      <c r="N66" s="99"/>
      <c r="O66" s="99"/>
      <c r="P66" s="99"/>
      <c r="Q66" s="99"/>
      <c r="R66" s="99"/>
      <c r="S66" s="99">
        <v>46692</v>
      </c>
      <c r="T66" s="99"/>
      <c r="U66" s="99">
        <v>723</v>
      </c>
      <c r="V66" s="99"/>
      <c r="W66" s="99"/>
      <c r="X66" s="99"/>
      <c r="Y66" s="99"/>
      <c r="Z66" s="99"/>
      <c r="AA66" s="99"/>
      <c r="AB66" s="99"/>
      <c r="AC66" s="99">
        <v>10753</v>
      </c>
      <c r="AD66" s="99"/>
      <c r="AE66" s="99">
        <v>7614</v>
      </c>
      <c r="AF66" s="99"/>
      <c r="AG66" s="99"/>
      <c r="AH66" s="99"/>
      <c r="AI66" s="91"/>
    </row>
    <row r="67" spans="1:35" s="4" customFormat="1" ht="19.5" thickBot="1" x14ac:dyDescent="0.35">
      <c r="A67" s="248">
        <v>1030</v>
      </c>
      <c r="B67" s="268" t="s">
        <v>240</v>
      </c>
      <c r="C67" s="106">
        <v>87749</v>
      </c>
      <c r="D67" s="278"/>
      <c r="E67" s="106"/>
      <c r="F67" s="106">
        <f t="shared" si="0"/>
        <v>87749</v>
      </c>
      <c r="G67" s="106">
        <f t="shared" si="1"/>
        <v>0</v>
      </c>
      <c r="H67" s="91"/>
      <c r="I67" s="99"/>
      <c r="K67" s="99"/>
      <c r="L67" s="99"/>
      <c r="M67" s="99"/>
      <c r="N67" s="99"/>
      <c r="O67" s="99"/>
      <c r="P67" s="99"/>
      <c r="Q67" s="99"/>
      <c r="R67" s="99">
        <v>47078</v>
      </c>
      <c r="S67" s="99">
        <v>27243</v>
      </c>
      <c r="T67" s="99"/>
      <c r="U67" s="99"/>
      <c r="V67" s="99"/>
      <c r="W67" s="99">
        <v>3572</v>
      </c>
      <c r="X67" s="99"/>
      <c r="Y67" s="99"/>
      <c r="Z67" s="99"/>
      <c r="AA67" s="99"/>
      <c r="AB67" s="99">
        <v>9856</v>
      </c>
      <c r="AC67" s="99"/>
      <c r="AD67" s="99"/>
      <c r="AE67" s="99"/>
      <c r="AF67" s="99"/>
      <c r="AG67" s="99"/>
      <c r="AH67" s="99"/>
      <c r="AI67" s="91"/>
    </row>
    <row r="68" spans="1:35" s="4" customFormat="1" ht="19.5" thickBot="1" x14ac:dyDescent="0.35">
      <c r="A68" s="248">
        <v>1040</v>
      </c>
      <c r="B68" s="268" t="s">
        <v>241</v>
      </c>
      <c r="C68" s="106">
        <v>240729</v>
      </c>
      <c r="D68" s="278"/>
      <c r="E68" s="106"/>
      <c r="F68" s="106">
        <f t="shared" si="0"/>
        <v>240729</v>
      </c>
      <c r="G68" s="106">
        <f t="shared" si="1"/>
        <v>0</v>
      </c>
      <c r="H68" s="91"/>
      <c r="I68" s="99"/>
      <c r="K68" s="99"/>
      <c r="L68" s="99"/>
      <c r="M68" s="99"/>
      <c r="N68" s="99"/>
      <c r="O68" s="99">
        <v>7543</v>
      </c>
      <c r="P68" s="99"/>
      <c r="Q68" s="99"/>
      <c r="R68" s="99">
        <v>50753</v>
      </c>
      <c r="S68" s="99">
        <v>67443</v>
      </c>
      <c r="T68" s="99"/>
      <c r="U68" s="99">
        <v>60411</v>
      </c>
      <c r="V68" s="99">
        <v>9399</v>
      </c>
      <c r="W68" s="99"/>
      <c r="X68" s="99"/>
      <c r="Y68" s="99"/>
      <c r="Z68" s="99">
        <v>31309</v>
      </c>
      <c r="AA68" s="99"/>
      <c r="AB68" s="99">
        <v>13871</v>
      </c>
      <c r="AC68" s="99"/>
      <c r="AD68" s="99"/>
      <c r="AE68" s="99"/>
      <c r="AF68" s="99"/>
      <c r="AG68" s="99"/>
      <c r="AH68" s="99"/>
      <c r="AI68" s="91"/>
    </row>
    <row r="69" spans="1:35" s="4" customFormat="1" ht="19.5" thickBot="1" x14ac:dyDescent="0.35">
      <c r="A69" s="248">
        <v>1050</v>
      </c>
      <c r="B69" s="268" t="s">
        <v>242</v>
      </c>
      <c r="C69" s="106">
        <v>30331</v>
      </c>
      <c r="D69" s="278"/>
      <c r="E69" s="106"/>
      <c r="F69" s="106">
        <f t="shared" si="0"/>
        <v>30331</v>
      </c>
      <c r="G69" s="106">
        <f t="shared" si="1"/>
        <v>0</v>
      </c>
      <c r="H69" s="91"/>
      <c r="I69" s="99"/>
      <c r="K69" s="99"/>
      <c r="L69" s="99"/>
      <c r="M69" s="99"/>
      <c r="N69" s="99"/>
      <c r="O69" s="99"/>
      <c r="P69" s="99"/>
      <c r="Q69" s="99"/>
      <c r="R69" s="99"/>
      <c r="S69" s="99">
        <v>29069</v>
      </c>
      <c r="T69" s="99"/>
      <c r="U69" s="99"/>
      <c r="V69" s="99"/>
      <c r="W69" s="99"/>
      <c r="X69" s="99"/>
      <c r="Y69" s="99"/>
      <c r="Z69" s="99"/>
      <c r="AA69" s="99"/>
      <c r="AB69" s="99"/>
      <c r="AC69" s="99">
        <v>1262</v>
      </c>
      <c r="AD69" s="99"/>
      <c r="AE69" s="99"/>
      <c r="AF69" s="99"/>
      <c r="AG69" s="99"/>
      <c r="AH69" s="99"/>
      <c r="AI69" s="91"/>
    </row>
    <row r="70" spans="1:35" s="4" customFormat="1" ht="19.5" thickBot="1" x14ac:dyDescent="0.35">
      <c r="A70" s="248">
        <v>1060</v>
      </c>
      <c r="B70" s="268" t="s">
        <v>243</v>
      </c>
      <c r="C70" s="106">
        <v>18727</v>
      </c>
      <c r="D70" s="278"/>
      <c r="E70" s="106"/>
      <c r="F70" s="106">
        <f t="shared" si="0"/>
        <v>18727</v>
      </c>
      <c r="G70" s="106">
        <f t="shared" si="1"/>
        <v>0</v>
      </c>
      <c r="H70" s="91"/>
      <c r="I70" s="99"/>
      <c r="K70" s="99"/>
      <c r="L70" s="99"/>
      <c r="M70" s="99"/>
      <c r="N70" s="99">
        <v>6211</v>
      </c>
      <c r="O70" s="99"/>
      <c r="P70" s="99">
        <v>6211</v>
      </c>
      <c r="Q70" s="99"/>
      <c r="R70" s="99">
        <v>6211</v>
      </c>
      <c r="S70" s="99"/>
      <c r="T70" s="99"/>
      <c r="U70" s="99"/>
      <c r="V70" s="99"/>
      <c r="W70" s="99"/>
      <c r="X70" s="99"/>
      <c r="Y70" s="99">
        <v>94</v>
      </c>
      <c r="Z70" s="99"/>
      <c r="AA70" s="99"/>
      <c r="AB70" s="99"/>
      <c r="AC70" s="99"/>
      <c r="AD70" s="99"/>
      <c r="AE70" s="99"/>
      <c r="AF70" s="99"/>
      <c r="AG70" s="99"/>
      <c r="AH70" s="99"/>
      <c r="AI70" s="91"/>
    </row>
    <row r="71" spans="1:35" s="4" customFormat="1" ht="19.5" thickBot="1" x14ac:dyDescent="0.35">
      <c r="A71" s="248">
        <v>1070</v>
      </c>
      <c r="B71" s="268" t="s">
        <v>244</v>
      </c>
      <c r="C71" s="106">
        <v>6818</v>
      </c>
      <c r="D71" s="278"/>
      <c r="E71" s="106"/>
      <c r="F71" s="106">
        <f t="shared" si="0"/>
        <v>6818</v>
      </c>
      <c r="G71" s="106">
        <f t="shared" si="1"/>
        <v>0</v>
      </c>
      <c r="H71" s="91"/>
      <c r="I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>
        <v>6818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1"/>
    </row>
    <row r="72" spans="1:35" s="4" customFormat="1" ht="19.5" thickBot="1" x14ac:dyDescent="0.35">
      <c r="A72" s="248">
        <v>1080</v>
      </c>
      <c r="B72" s="268" t="s">
        <v>245</v>
      </c>
      <c r="C72" s="106">
        <v>61286</v>
      </c>
      <c r="D72" s="278"/>
      <c r="E72" s="106"/>
      <c r="F72" s="106">
        <f t="shared" si="0"/>
        <v>61286</v>
      </c>
      <c r="G72" s="106">
        <f t="shared" si="1"/>
        <v>0</v>
      </c>
      <c r="H72" s="91"/>
      <c r="I72" s="99"/>
      <c r="K72" s="99"/>
      <c r="L72" s="99"/>
      <c r="M72" s="99"/>
      <c r="N72" s="99"/>
      <c r="O72" s="99">
        <v>7441</v>
      </c>
      <c r="P72" s="99"/>
      <c r="Q72" s="99">
        <v>8855</v>
      </c>
      <c r="R72" s="99">
        <v>14128</v>
      </c>
      <c r="S72" s="99">
        <v>16764</v>
      </c>
      <c r="T72" s="99"/>
      <c r="U72" s="99"/>
      <c r="V72" s="99"/>
      <c r="W72" s="99">
        <v>14012</v>
      </c>
      <c r="X72" s="99"/>
      <c r="Y72" s="99">
        <v>86</v>
      </c>
      <c r="Z72" s="99"/>
      <c r="AA72" s="99"/>
      <c r="AB72" s="99"/>
      <c r="AC72" s="99"/>
      <c r="AD72" s="99"/>
      <c r="AE72" s="99"/>
      <c r="AF72" s="99"/>
      <c r="AG72" s="99"/>
      <c r="AH72" s="99"/>
      <c r="AI72" s="91"/>
    </row>
    <row r="73" spans="1:35" s="4" customFormat="1" ht="19.5" thickBot="1" x14ac:dyDescent="0.35">
      <c r="A73" s="248">
        <v>1110</v>
      </c>
      <c r="B73" s="268" t="s">
        <v>246</v>
      </c>
      <c r="C73" s="106">
        <v>125497</v>
      </c>
      <c r="D73" s="278"/>
      <c r="E73" s="106"/>
      <c r="F73" s="106">
        <f t="shared" si="0"/>
        <v>125497</v>
      </c>
      <c r="G73" s="106">
        <f t="shared" si="1"/>
        <v>0</v>
      </c>
      <c r="H73" s="91"/>
      <c r="I73" s="99"/>
      <c r="K73" s="99"/>
      <c r="L73" s="99"/>
      <c r="M73" s="99"/>
      <c r="N73" s="99"/>
      <c r="O73" s="99">
        <v>37750</v>
      </c>
      <c r="P73" s="99"/>
      <c r="Q73" s="99"/>
      <c r="R73" s="99">
        <v>40245</v>
      </c>
      <c r="S73" s="99">
        <v>29552</v>
      </c>
      <c r="T73" s="99"/>
      <c r="U73" s="99"/>
      <c r="V73" s="99"/>
      <c r="W73" s="99"/>
      <c r="X73" s="99">
        <v>2400</v>
      </c>
      <c r="Y73" s="99">
        <v>15550</v>
      </c>
      <c r="Z73" s="99"/>
      <c r="AA73" s="99"/>
      <c r="AB73" s="99"/>
      <c r="AC73" s="99"/>
      <c r="AD73" s="99"/>
      <c r="AE73" s="99"/>
      <c r="AF73" s="99"/>
      <c r="AG73" s="99"/>
      <c r="AH73" s="99"/>
      <c r="AI73" s="91"/>
    </row>
    <row r="74" spans="1:35" s="4" customFormat="1" ht="19.5" thickBot="1" x14ac:dyDescent="0.35">
      <c r="A74" s="248">
        <v>1120</v>
      </c>
      <c r="B74" s="268" t="s">
        <v>247</v>
      </c>
      <c r="C74" s="106">
        <v>986</v>
      </c>
      <c r="D74" s="278"/>
      <c r="E74" s="106"/>
      <c r="F74" s="106">
        <f t="shared" si="0"/>
        <v>986</v>
      </c>
      <c r="G74" s="106">
        <f t="shared" si="1"/>
        <v>0</v>
      </c>
      <c r="H74" s="91"/>
      <c r="I74" s="99"/>
      <c r="K74" s="99"/>
      <c r="L74" s="99"/>
      <c r="M74" s="99"/>
      <c r="N74" s="99">
        <v>986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1"/>
    </row>
    <row r="75" spans="1:35" s="4" customFormat="1" ht="19.5" thickBot="1" x14ac:dyDescent="0.35">
      <c r="A75" s="248">
        <v>1130</v>
      </c>
      <c r="B75" s="268" t="s">
        <v>248</v>
      </c>
      <c r="C75" s="106">
        <v>12395</v>
      </c>
      <c r="D75" s="278"/>
      <c r="E75" s="106"/>
      <c r="F75" s="106">
        <f t="shared" si="0"/>
        <v>12395</v>
      </c>
      <c r="G75" s="106">
        <f t="shared" si="1"/>
        <v>0</v>
      </c>
      <c r="H75" s="91"/>
      <c r="I75" s="99"/>
      <c r="K75" s="99"/>
      <c r="L75" s="99"/>
      <c r="M75" s="99"/>
      <c r="N75" s="99"/>
      <c r="O75" s="99">
        <v>4155</v>
      </c>
      <c r="P75" s="99"/>
      <c r="Q75" s="99">
        <v>2902</v>
      </c>
      <c r="R75" s="99"/>
      <c r="S75" s="99"/>
      <c r="T75" s="99">
        <v>2973</v>
      </c>
      <c r="U75" s="99"/>
      <c r="V75" s="99">
        <v>2298</v>
      </c>
      <c r="W75" s="99"/>
      <c r="X75" s="99"/>
      <c r="Y75" s="99"/>
      <c r="Z75" s="99"/>
      <c r="AA75" s="99"/>
      <c r="AB75" s="99">
        <v>67</v>
      </c>
      <c r="AC75" s="99"/>
      <c r="AD75" s="99"/>
      <c r="AE75" s="99"/>
      <c r="AF75" s="99"/>
      <c r="AG75" s="99"/>
      <c r="AH75" s="99"/>
      <c r="AI75" s="91"/>
    </row>
    <row r="76" spans="1:35" s="4" customFormat="1" ht="19.5" thickBot="1" x14ac:dyDescent="0.35">
      <c r="A76" s="248">
        <v>1140</v>
      </c>
      <c r="B76" s="268" t="s">
        <v>249</v>
      </c>
      <c r="C76" s="106">
        <v>184132</v>
      </c>
      <c r="D76" s="278"/>
      <c r="E76" s="106"/>
      <c r="F76" s="106">
        <f t="shared" si="0"/>
        <v>184132</v>
      </c>
      <c r="G76" s="106">
        <f t="shared" si="1"/>
        <v>0</v>
      </c>
      <c r="H76" s="91"/>
      <c r="I76" s="99"/>
      <c r="K76" s="99"/>
      <c r="L76" s="99">
        <v>34459</v>
      </c>
      <c r="M76" s="99"/>
      <c r="N76" s="99">
        <v>51907</v>
      </c>
      <c r="O76" s="99"/>
      <c r="P76" s="99"/>
      <c r="Q76" s="99">
        <v>46169</v>
      </c>
      <c r="R76" s="99"/>
      <c r="S76" s="99">
        <v>31216</v>
      </c>
      <c r="T76" s="99"/>
      <c r="U76" s="99">
        <v>20381</v>
      </c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1"/>
    </row>
    <row r="77" spans="1:35" s="4" customFormat="1" ht="19.5" thickBot="1" x14ac:dyDescent="0.35">
      <c r="A77" s="248">
        <v>1150</v>
      </c>
      <c r="B77" s="268" t="s">
        <v>250</v>
      </c>
      <c r="C77" s="106">
        <v>100231</v>
      </c>
      <c r="D77" s="278"/>
      <c r="E77" s="106"/>
      <c r="F77" s="106">
        <f t="shared" si="0"/>
        <v>100231</v>
      </c>
      <c r="G77" s="106">
        <f t="shared" si="1"/>
        <v>0</v>
      </c>
      <c r="H77" s="91"/>
      <c r="I77" s="99"/>
      <c r="K77" s="99"/>
      <c r="L77" s="99">
        <v>5479</v>
      </c>
      <c r="M77" s="99">
        <v>7652</v>
      </c>
      <c r="N77" s="99"/>
      <c r="O77" s="99">
        <v>15781</v>
      </c>
      <c r="P77" s="99">
        <v>9880</v>
      </c>
      <c r="Q77" s="99">
        <v>7846</v>
      </c>
      <c r="R77" s="99">
        <v>7846</v>
      </c>
      <c r="S77" s="99"/>
      <c r="T77" s="99">
        <v>22634</v>
      </c>
      <c r="U77" s="99"/>
      <c r="V77" s="99">
        <v>8306</v>
      </c>
      <c r="W77" s="99"/>
      <c r="X77" s="99"/>
      <c r="Y77" s="99">
        <v>14807</v>
      </c>
      <c r="Z77" s="99"/>
      <c r="AA77" s="99"/>
      <c r="AB77" s="99"/>
      <c r="AC77" s="99"/>
      <c r="AD77" s="99"/>
      <c r="AE77" s="99"/>
      <c r="AF77" s="99"/>
      <c r="AG77" s="99"/>
      <c r="AH77" s="99"/>
      <c r="AI77" s="91"/>
    </row>
    <row r="78" spans="1:35" s="4" customFormat="1" ht="19.5" thickBot="1" x14ac:dyDescent="0.35">
      <c r="A78" s="248">
        <v>1160</v>
      </c>
      <c r="B78" s="268" t="s">
        <v>251</v>
      </c>
      <c r="C78" s="106">
        <v>6027</v>
      </c>
      <c r="D78" s="278"/>
      <c r="E78" s="106"/>
      <c r="F78" s="106">
        <f t="shared" ref="F78:F141" si="3">SUM(H78:AI78)</f>
        <v>6027</v>
      </c>
      <c r="G78" s="106">
        <f t="shared" ref="G78:G141" si="4">IF(ISBLANK(E78),C78-F78,C78-E78)</f>
        <v>0</v>
      </c>
      <c r="H78" s="91"/>
      <c r="I78" s="99"/>
      <c r="K78" s="99"/>
      <c r="L78" s="99"/>
      <c r="M78" s="99"/>
      <c r="N78" s="99"/>
      <c r="O78" s="99"/>
      <c r="P78" s="99">
        <v>3018</v>
      </c>
      <c r="Q78" s="99"/>
      <c r="R78" s="99"/>
      <c r="S78" s="99">
        <v>3009</v>
      </c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1"/>
    </row>
    <row r="79" spans="1:35" s="4" customFormat="1" ht="19.5" thickBot="1" x14ac:dyDescent="0.35">
      <c r="A79" s="248">
        <v>1180</v>
      </c>
      <c r="B79" s="268" t="s">
        <v>252</v>
      </c>
      <c r="C79" s="106">
        <v>119312</v>
      </c>
      <c r="D79" s="278"/>
      <c r="E79" s="106"/>
      <c r="F79" s="106">
        <f t="shared" si="3"/>
        <v>119312</v>
      </c>
      <c r="G79" s="106">
        <f t="shared" si="4"/>
        <v>0</v>
      </c>
      <c r="H79" s="91"/>
      <c r="I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>
        <f>84288-31251</f>
        <v>53037</v>
      </c>
      <c r="X79" s="99">
        <v>17376</v>
      </c>
      <c r="Y79" s="99"/>
      <c r="Z79" s="99"/>
      <c r="AA79" s="99"/>
      <c r="AB79" s="99"/>
      <c r="AC79" s="99"/>
      <c r="AD79" s="99">
        <v>48899</v>
      </c>
      <c r="AE79" s="99"/>
      <c r="AF79" s="99"/>
      <c r="AG79" s="99"/>
      <c r="AH79" s="99"/>
      <c r="AI79" s="91"/>
    </row>
    <row r="80" spans="1:35" s="4" customFormat="1" ht="19.5" thickBot="1" x14ac:dyDescent="0.35">
      <c r="A80" s="248">
        <v>1195</v>
      </c>
      <c r="B80" s="268" t="s">
        <v>253</v>
      </c>
      <c r="C80" s="106">
        <v>123273</v>
      </c>
      <c r="D80" s="278"/>
      <c r="E80" s="106"/>
      <c r="F80" s="106">
        <f t="shared" si="3"/>
        <v>123273</v>
      </c>
      <c r="G80" s="106">
        <f t="shared" si="4"/>
        <v>0</v>
      </c>
      <c r="H80" s="91"/>
      <c r="I80" s="99"/>
      <c r="K80" s="99"/>
      <c r="L80" s="99">
        <v>30193</v>
      </c>
      <c r="M80" s="99"/>
      <c r="N80" s="99">
        <v>10509</v>
      </c>
      <c r="O80" s="99">
        <v>21055</v>
      </c>
      <c r="P80" s="99">
        <v>10542</v>
      </c>
      <c r="Q80" s="99">
        <v>10485</v>
      </c>
      <c r="R80" s="99">
        <v>10522</v>
      </c>
      <c r="S80" s="99">
        <v>10521</v>
      </c>
      <c r="T80" s="99">
        <v>10486</v>
      </c>
      <c r="U80" s="99">
        <v>7019</v>
      </c>
      <c r="V80" s="99">
        <v>1941</v>
      </c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1"/>
    </row>
    <row r="81" spans="1:35" s="4" customFormat="1" ht="19.5" thickBot="1" x14ac:dyDescent="0.35">
      <c r="A81" s="248">
        <v>1220</v>
      </c>
      <c r="B81" s="268" t="s">
        <v>254</v>
      </c>
      <c r="C81" s="106">
        <v>27680</v>
      </c>
      <c r="D81" s="278"/>
      <c r="E81" s="106"/>
      <c r="F81" s="106">
        <f t="shared" si="3"/>
        <v>27680</v>
      </c>
      <c r="G81" s="106">
        <f t="shared" si="4"/>
        <v>0</v>
      </c>
      <c r="H81" s="91"/>
      <c r="I81" s="99"/>
      <c r="K81" s="99"/>
      <c r="L81" s="99"/>
      <c r="M81" s="99"/>
      <c r="N81" s="99"/>
      <c r="O81" s="99"/>
      <c r="P81" s="99"/>
      <c r="Q81" s="99"/>
      <c r="R81" s="99">
        <v>27680</v>
      </c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1"/>
    </row>
    <row r="82" spans="1:35" s="4" customFormat="1" ht="19.5" thickBot="1" x14ac:dyDescent="0.35">
      <c r="A82" s="248">
        <v>1330</v>
      </c>
      <c r="B82" s="268" t="s">
        <v>255</v>
      </c>
      <c r="C82" s="106">
        <v>11072</v>
      </c>
      <c r="D82" s="278"/>
      <c r="E82" s="106"/>
      <c r="F82" s="106">
        <f t="shared" si="3"/>
        <v>11072</v>
      </c>
      <c r="G82" s="106">
        <f t="shared" si="4"/>
        <v>0</v>
      </c>
      <c r="H82" s="91"/>
      <c r="I82" s="99"/>
      <c r="K82" s="99"/>
      <c r="L82" s="99"/>
      <c r="M82" s="99"/>
      <c r="N82" s="99"/>
      <c r="O82" s="99"/>
      <c r="P82" s="99"/>
      <c r="Q82" s="99"/>
      <c r="R82" s="99">
        <v>9553</v>
      </c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>
        <v>1519</v>
      </c>
      <c r="AF82" s="99"/>
      <c r="AG82" s="99"/>
      <c r="AH82" s="99"/>
      <c r="AI82" s="91"/>
    </row>
    <row r="83" spans="1:35" s="4" customFormat="1" ht="19.5" thickBot="1" x14ac:dyDescent="0.35">
      <c r="A83" s="248">
        <v>1340</v>
      </c>
      <c r="B83" s="268" t="s">
        <v>256</v>
      </c>
      <c r="C83" s="106">
        <v>18367</v>
      </c>
      <c r="D83" s="278"/>
      <c r="E83" s="106"/>
      <c r="F83" s="106">
        <f t="shared" si="3"/>
        <v>18367</v>
      </c>
      <c r="G83" s="106">
        <f t="shared" si="4"/>
        <v>0</v>
      </c>
      <c r="H83" s="91"/>
      <c r="I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>
        <v>18367</v>
      </c>
      <c r="AD83" s="99"/>
      <c r="AE83" s="99"/>
      <c r="AF83" s="99"/>
      <c r="AG83" s="99"/>
      <c r="AH83" s="99"/>
      <c r="AI83" s="91"/>
    </row>
    <row r="84" spans="1:35" s="4" customFormat="1" ht="19.5" thickBot="1" x14ac:dyDescent="0.35">
      <c r="A84" s="248">
        <v>1350</v>
      </c>
      <c r="B84" s="268" t="s">
        <v>257</v>
      </c>
      <c r="C84" s="106">
        <v>28765</v>
      </c>
      <c r="D84" s="278"/>
      <c r="E84" s="106"/>
      <c r="F84" s="106">
        <f t="shared" si="3"/>
        <v>28765</v>
      </c>
      <c r="G84" s="106">
        <f t="shared" si="4"/>
        <v>0</v>
      </c>
      <c r="H84" s="91"/>
      <c r="I84" s="99"/>
      <c r="K84" s="99"/>
      <c r="L84" s="99"/>
      <c r="M84" s="99"/>
      <c r="N84" s="99"/>
      <c r="O84" s="99">
        <v>3805</v>
      </c>
      <c r="P84" s="99"/>
      <c r="Q84" s="99">
        <v>350</v>
      </c>
      <c r="R84" s="99"/>
      <c r="S84" s="99">
        <v>24610</v>
      </c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1"/>
    </row>
    <row r="85" spans="1:35" s="4" customFormat="1" ht="19.5" thickBot="1" x14ac:dyDescent="0.35">
      <c r="A85" s="248">
        <v>1360</v>
      </c>
      <c r="B85" s="268" t="s">
        <v>258</v>
      </c>
      <c r="C85" s="106">
        <v>57960</v>
      </c>
      <c r="D85" s="278"/>
      <c r="E85" s="106"/>
      <c r="F85" s="106">
        <f t="shared" si="3"/>
        <v>57960</v>
      </c>
      <c r="G85" s="106">
        <f t="shared" si="4"/>
        <v>0</v>
      </c>
      <c r="H85" s="91"/>
      <c r="I85" s="99"/>
      <c r="K85" s="99"/>
      <c r="L85" s="99"/>
      <c r="M85" s="99"/>
      <c r="N85" s="99">
        <v>22988</v>
      </c>
      <c r="O85" s="99"/>
      <c r="P85" s="99"/>
      <c r="Q85" s="99"/>
      <c r="R85" s="99"/>
      <c r="S85" s="99">
        <v>26210</v>
      </c>
      <c r="T85" s="99"/>
      <c r="U85" s="99"/>
      <c r="V85" s="99">
        <v>2011</v>
      </c>
      <c r="W85" s="99"/>
      <c r="X85" s="99"/>
      <c r="Y85" s="99"/>
      <c r="Z85" s="99"/>
      <c r="AA85" s="99"/>
      <c r="AB85" s="99">
        <v>6751</v>
      </c>
      <c r="AC85" s="99"/>
      <c r="AD85" s="99"/>
      <c r="AE85" s="99"/>
      <c r="AF85" s="99"/>
      <c r="AG85" s="99"/>
      <c r="AH85" s="99"/>
      <c r="AI85" s="91"/>
    </row>
    <row r="86" spans="1:35" s="4" customFormat="1" ht="19.5" thickBot="1" x14ac:dyDescent="0.35">
      <c r="A86" s="248">
        <v>1380</v>
      </c>
      <c r="B86" s="268" t="s">
        <v>259</v>
      </c>
      <c r="C86" s="106">
        <v>4028</v>
      </c>
      <c r="D86" s="278"/>
      <c r="E86" s="106"/>
      <c r="F86" s="106">
        <f t="shared" si="3"/>
        <v>4028</v>
      </c>
      <c r="G86" s="106">
        <f t="shared" si="4"/>
        <v>0</v>
      </c>
      <c r="H86" s="91"/>
      <c r="I86" s="99"/>
      <c r="K86" s="99"/>
      <c r="L86" s="99"/>
      <c r="M86" s="99"/>
      <c r="N86" s="99"/>
      <c r="O86" s="99"/>
      <c r="P86" s="99"/>
      <c r="Q86" s="99"/>
      <c r="R86" s="99"/>
      <c r="S86" s="99">
        <v>4028</v>
      </c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1"/>
    </row>
    <row r="87" spans="1:35" s="4" customFormat="1" ht="19.5" thickBot="1" x14ac:dyDescent="0.35">
      <c r="A87" s="248">
        <v>1390</v>
      </c>
      <c r="B87" s="268" t="s">
        <v>260</v>
      </c>
      <c r="C87" s="106">
        <v>63783</v>
      </c>
      <c r="D87" s="278"/>
      <c r="E87" s="106"/>
      <c r="F87" s="106">
        <f t="shared" si="3"/>
        <v>63783</v>
      </c>
      <c r="G87" s="106">
        <f t="shared" si="4"/>
        <v>0</v>
      </c>
      <c r="H87" s="91"/>
      <c r="I87" s="99"/>
      <c r="K87" s="99"/>
      <c r="L87" s="99"/>
      <c r="M87" s="99"/>
      <c r="N87" s="99">
        <v>7781</v>
      </c>
      <c r="O87" s="99"/>
      <c r="P87" s="99"/>
      <c r="Q87" s="99">
        <v>12157</v>
      </c>
      <c r="R87" s="99"/>
      <c r="S87" s="99">
        <v>4358</v>
      </c>
      <c r="T87" s="99"/>
      <c r="U87" s="99"/>
      <c r="V87" s="99">
        <v>22503</v>
      </c>
      <c r="W87" s="99"/>
      <c r="X87" s="99"/>
      <c r="Y87" s="99"/>
      <c r="Z87" s="99"/>
      <c r="AA87" s="99">
        <v>9713</v>
      </c>
      <c r="AB87" s="99"/>
      <c r="AC87" s="99">
        <v>3114</v>
      </c>
      <c r="AD87" s="99">
        <v>4157</v>
      </c>
      <c r="AE87" s="99"/>
      <c r="AF87" s="99"/>
      <c r="AG87" s="99"/>
      <c r="AH87" s="99"/>
      <c r="AI87" s="91"/>
    </row>
    <row r="88" spans="1:35" s="4" customFormat="1" ht="19.5" thickBot="1" x14ac:dyDescent="0.35">
      <c r="A88" s="248">
        <v>1400</v>
      </c>
      <c r="B88" s="268" t="s">
        <v>261</v>
      </c>
      <c r="C88" s="106">
        <v>15316</v>
      </c>
      <c r="D88" s="278"/>
      <c r="E88" s="106"/>
      <c r="F88" s="106">
        <f t="shared" si="3"/>
        <v>15316</v>
      </c>
      <c r="G88" s="106">
        <f t="shared" si="4"/>
        <v>0</v>
      </c>
      <c r="H88" s="91"/>
      <c r="I88" s="99"/>
      <c r="K88" s="99"/>
      <c r="L88" s="99">
        <v>1410</v>
      </c>
      <c r="M88" s="99">
        <v>2204</v>
      </c>
      <c r="N88" s="99">
        <v>1103</v>
      </c>
      <c r="O88" s="99">
        <v>1110</v>
      </c>
      <c r="P88" s="99">
        <v>1114</v>
      </c>
      <c r="Q88" s="99">
        <v>1985</v>
      </c>
      <c r="R88" s="99">
        <v>1111</v>
      </c>
      <c r="S88" s="99">
        <v>2232</v>
      </c>
      <c r="T88" s="99"/>
      <c r="U88" s="99"/>
      <c r="V88" s="99"/>
      <c r="W88" s="99">
        <v>762</v>
      </c>
      <c r="X88" s="99">
        <v>2285</v>
      </c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1"/>
    </row>
    <row r="89" spans="1:35" s="4" customFormat="1" ht="19.5" thickBot="1" x14ac:dyDescent="0.35">
      <c r="A89" s="248">
        <v>1410</v>
      </c>
      <c r="B89" s="61" t="s">
        <v>262</v>
      </c>
      <c r="C89" s="106">
        <v>11147</v>
      </c>
      <c r="D89" s="278" t="s">
        <v>378</v>
      </c>
      <c r="E89" s="106">
        <f t="shared" ref="E89:E131" si="5">IF(ISBLANK(D89),,C89)</f>
        <v>11147</v>
      </c>
      <c r="F89" s="106">
        <f t="shared" si="3"/>
        <v>0</v>
      </c>
      <c r="G89" s="106">
        <f t="shared" si="4"/>
        <v>0</v>
      </c>
      <c r="H89" s="91"/>
      <c r="I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1"/>
    </row>
    <row r="90" spans="1:35" s="4" customFormat="1" ht="19.5" thickBot="1" x14ac:dyDescent="0.35">
      <c r="A90" s="248">
        <v>1420</v>
      </c>
      <c r="B90" s="268" t="s">
        <v>263</v>
      </c>
      <c r="C90" s="106">
        <v>1894357</v>
      </c>
      <c r="D90" s="278"/>
      <c r="E90" s="106"/>
      <c r="F90" s="106">
        <f t="shared" si="3"/>
        <v>1894357</v>
      </c>
      <c r="G90" s="106">
        <f t="shared" si="4"/>
        <v>0</v>
      </c>
      <c r="H90" s="91"/>
      <c r="I90" s="99"/>
      <c r="K90" s="99"/>
      <c r="L90" s="99"/>
      <c r="M90" s="99">
        <f>90164-90164</f>
        <v>0</v>
      </c>
      <c r="N90" s="99">
        <f>203946-203946</f>
        <v>0</v>
      </c>
      <c r="O90" s="99"/>
      <c r="P90" s="99">
        <f>214276+203483-29178</f>
        <v>388581</v>
      </c>
      <c r="Q90" s="99">
        <v>202595</v>
      </c>
      <c r="R90" s="99">
        <v>209902</v>
      </c>
      <c r="S90" s="99">
        <v>183638</v>
      </c>
      <c r="T90" s="99">
        <v>219823</v>
      </c>
      <c r="U90" s="99"/>
      <c r="V90" s="99">
        <v>356526</v>
      </c>
      <c r="W90" s="99">
        <v>171364</v>
      </c>
      <c r="X90" s="99">
        <f>10004+151924</f>
        <v>161928</v>
      </c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1"/>
    </row>
    <row r="91" spans="1:35" s="4" customFormat="1" ht="19.5" thickBot="1" x14ac:dyDescent="0.35">
      <c r="A91" s="248">
        <v>1430</v>
      </c>
      <c r="B91" s="268" t="s">
        <v>264</v>
      </c>
      <c r="C91" s="106">
        <v>11804</v>
      </c>
      <c r="D91" s="278"/>
      <c r="E91" s="106"/>
      <c r="F91" s="106">
        <f t="shared" si="3"/>
        <v>11804</v>
      </c>
      <c r="G91" s="106">
        <f t="shared" si="4"/>
        <v>0</v>
      </c>
      <c r="H91" s="91"/>
      <c r="I91" s="99"/>
      <c r="K91" s="99"/>
      <c r="L91" s="99"/>
      <c r="M91" s="99"/>
      <c r="N91" s="99"/>
      <c r="O91" s="99"/>
      <c r="P91" s="99"/>
      <c r="Q91" s="99"/>
      <c r="R91" s="99"/>
      <c r="S91" s="99">
        <v>11804</v>
      </c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1"/>
    </row>
    <row r="92" spans="1:35" s="4" customFormat="1" ht="19.5" thickBot="1" x14ac:dyDescent="0.35">
      <c r="A92" s="248">
        <v>1440</v>
      </c>
      <c r="B92" s="268" t="s">
        <v>265</v>
      </c>
      <c r="C92" s="106">
        <v>934</v>
      </c>
      <c r="D92" s="278"/>
      <c r="E92" s="106"/>
      <c r="F92" s="106">
        <f t="shared" si="3"/>
        <v>934</v>
      </c>
      <c r="G92" s="106">
        <f t="shared" si="4"/>
        <v>0</v>
      </c>
      <c r="H92" s="91"/>
      <c r="I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>
        <v>934</v>
      </c>
      <c r="AB92" s="99"/>
      <c r="AC92" s="99"/>
      <c r="AD92" s="99"/>
      <c r="AE92" s="99"/>
      <c r="AF92" s="99"/>
      <c r="AG92" s="99"/>
      <c r="AH92" s="99"/>
      <c r="AI92" s="91"/>
    </row>
    <row r="93" spans="1:35" s="4" customFormat="1" ht="19.5" thickBot="1" x14ac:dyDescent="0.35">
      <c r="A93" s="248">
        <v>1450</v>
      </c>
      <c r="B93" s="268" t="s">
        <v>266</v>
      </c>
      <c r="C93" s="106">
        <v>11227</v>
      </c>
      <c r="D93" s="278" t="s">
        <v>375</v>
      </c>
      <c r="E93" s="106">
        <f t="shared" si="5"/>
        <v>11227</v>
      </c>
      <c r="F93" s="106">
        <f t="shared" si="3"/>
        <v>0</v>
      </c>
      <c r="G93" s="106">
        <f t="shared" si="4"/>
        <v>0</v>
      </c>
      <c r="H93" s="91"/>
      <c r="I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1"/>
    </row>
    <row r="94" spans="1:35" s="4" customFormat="1" ht="19.5" thickBot="1" x14ac:dyDescent="0.35">
      <c r="A94" s="248">
        <v>1460</v>
      </c>
      <c r="B94" s="268" t="s">
        <v>267</v>
      </c>
      <c r="C94" s="106">
        <v>4473</v>
      </c>
      <c r="D94" s="278" t="s">
        <v>375</v>
      </c>
      <c r="E94" s="106">
        <f t="shared" si="5"/>
        <v>4473</v>
      </c>
      <c r="F94" s="106">
        <f t="shared" si="3"/>
        <v>0</v>
      </c>
      <c r="G94" s="106">
        <f t="shared" si="4"/>
        <v>0</v>
      </c>
      <c r="H94" s="91"/>
      <c r="I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1"/>
    </row>
    <row r="95" spans="1:35" s="4" customFormat="1" ht="19.5" thickBot="1" x14ac:dyDescent="0.35">
      <c r="A95" s="248">
        <v>1480</v>
      </c>
      <c r="B95" s="268" t="s">
        <v>268</v>
      </c>
      <c r="C95" s="106">
        <v>9194</v>
      </c>
      <c r="D95" s="278" t="s">
        <v>375</v>
      </c>
      <c r="E95" s="106">
        <f t="shared" si="5"/>
        <v>9194</v>
      </c>
      <c r="F95" s="106">
        <f t="shared" si="3"/>
        <v>0</v>
      </c>
      <c r="G95" s="106">
        <f t="shared" si="4"/>
        <v>0</v>
      </c>
      <c r="H95" s="91"/>
      <c r="I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1"/>
    </row>
    <row r="96" spans="1:35" s="4" customFormat="1" ht="19.5" thickBot="1" x14ac:dyDescent="0.35">
      <c r="A96" s="248">
        <v>1490</v>
      </c>
      <c r="B96" s="268" t="s">
        <v>269</v>
      </c>
      <c r="C96" s="106">
        <v>3853</v>
      </c>
      <c r="D96" s="278"/>
      <c r="E96" s="106"/>
      <c r="F96" s="106">
        <f t="shared" si="3"/>
        <v>3853</v>
      </c>
      <c r="G96" s="106">
        <f t="shared" si="4"/>
        <v>0</v>
      </c>
      <c r="H96" s="91"/>
      <c r="I96" s="99"/>
      <c r="K96" s="99"/>
      <c r="L96" s="99"/>
      <c r="M96" s="99"/>
      <c r="N96" s="99"/>
      <c r="O96" s="99"/>
      <c r="P96" s="99"/>
      <c r="Q96" s="99"/>
      <c r="R96" s="99"/>
      <c r="S96" s="99">
        <v>3853</v>
      </c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1"/>
    </row>
    <row r="97" spans="1:35" s="4" customFormat="1" ht="19.5" thickBot="1" x14ac:dyDescent="0.35">
      <c r="A97" s="248">
        <v>1500</v>
      </c>
      <c r="B97" s="268" t="s">
        <v>270</v>
      </c>
      <c r="C97" s="106">
        <v>32175</v>
      </c>
      <c r="D97" s="278" t="s">
        <v>375</v>
      </c>
      <c r="E97" s="106">
        <f t="shared" si="5"/>
        <v>32175</v>
      </c>
      <c r="F97" s="106">
        <f t="shared" si="3"/>
        <v>0</v>
      </c>
      <c r="G97" s="106">
        <f t="shared" si="4"/>
        <v>0</v>
      </c>
      <c r="H97" s="91"/>
      <c r="I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1"/>
    </row>
    <row r="98" spans="1:35" s="4" customFormat="1" ht="19.5" thickBot="1" x14ac:dyDescent="0.35">
      <c r="A98" s="248">
        <v>1510</v>
      </c>
      <c r="B98" s="268" t="s">
        <v>271</v>
      </c>
      <c r="C98" s="106">
        <v>44141</v>
      </c>
      <c r="D98" s="278"/>
      <c r="E98" s="106"/>
      <c r="F98" s="106">
        <f t="shared" si="3"/>
        <v>44141</v>
      </c>
      <c r="G98" s="106">
        <f t="shared" si="4"/>
        <v>0</v>
      </c>
      <c r="H98" s="91"/>
      <c r="I98" s="99"/>
      <c r="K98" s="99"/>
      <c r="L98" s="99"/>
      <c r="M98" s="99">
        <v>7327</v>
      </c>
      <c r="N98" s="99">
        <v>2444</v>
      </c>
      <c r="O98" s="99">
        <v>762</v>
      </c>
      <c r="P98" s="99">
        <v>2110</v>
      </c>
      <c r="Q98" s="99">
        <v>8702</v>
      </c>
      <c r="R98" s="99"/>
      <c r="S98" s="99">
        <v>9123</v>
      </c>
      <c r="T98" s="99"/>
      <c r="U98" s="99"/>
      <c r="V98" s="99">
        <v>8268</v>
      </c>
      <c r="W98" s="99"/>
      <c r="X98" s="99"/>
      <c r="Y98" s="99">
        <v>5405</v>
      </c>
      <c r="Z98" s="99"/>
      <c r="AA98" s="99"/>
      <c r="AB98" s="99"/>
      <c r="AC98" s="99"/>
      <c r="AD98" s="99"/>
      <c r="AE98" s="99"/>
      <c r="AF98" s="99"/>
      <c r="AG98" s="99"/>
      <c r="AH98" s="99"/>
      <c r="AI98" s="91"/>
    </row>
    <row r="99" spans="1:35" s="4" customFormat="1" ht="19.5" thickBot="1" x14ac:dyDescent="0.35">
      <c r="A99" s="248">
        <v>1520</v>
      </c>
      <c r="B99" s="268" t="s">
        <v>272</v>
      </c>
      <c r="C99" s="106">
        <v>166813</v>
      </c>
      <c r="D99" s="278"/>
      <c r="E99" s="106"/>
      <c r="F99" s="106">
        <f t="shared" si="3"/>
        <v>166813</v>
      </c>
      <c r="G99" s="106">
        <f t="shared" si="4"/>
        <v>0</v>
      </c>
      <c r="H99" s="91"/>
      <c r="I99" s="99"/>
      <c r="K99" s="99"/>
      <c r="L99" s="99"/>
      <c r="M99" s="99"/>
      <c r="N99" s="99"/>
      <c r="O99" s="99">
        <v>56783</v>
      </c>
      <c r="P99" s="99">
        <v>27327</v>
      </c>
      <c r="Q99" s="99"/>
      <c r="R99" s="99">
        <v>35558</v>
      </c>
      <c r="S99" s="99">
        <v>31599</v>
      </c>
      <c r="T99" s="99"/>
      <c r="U99" s="99">
        <v>14001</v>
      </c>
      <c r="V99" s="99"/>
      <c r="W99" s="99"/>
      <c r="X99" s="99"/>
      <c r="Y99" s="99"/>
      <c r="Z99" s="99"/>
      <c r="AA99" s="99">
        <v>1545</v>
      </c>
      <c r="AB99" s="99"/>
      <c r="AC99" s="99"/>
      <c r="AD99" s="99"/>
      <c r="AE99" s="99"/>
      <c r="AF99" s="99"/>
      <c r="AG99" s="99"/>
      <c r="AH99" s="99"/>
      <c r="AI99" s="91"/>
    </row>
    <row r="100" spans="1:35" s="4" customFormat="1" ht="19.5" thickBot="1" x14ac:dyDescent="0.35">
      <c r="A100" s="248">
        <v>1530</v>
      </c>
      <c r="B100" s="268" t="s">
        <v>273</v>
      </c>
      <c r="C100" s="106">
        <v>29387</v>
      </c>
      <c r="D100" s="278"/>
      <c r="E100" s="106"/>
      <c r="F100" s="106">
        <f t="shared" si="3"/>
        <v>29387</v>
      </c>
      <c r="G100" s="106">
        <f t="shared" si="4"/>
        <v>0</v>
      </c>
      <c r="H100" s="91"/>
      <c r="I100" s="99"/>
      <c r="K100" s="99"/>
      <c r="L100" s="99"/>
      <c r="M100" s="99"/>
      <c r="N100" s="99"/>
      <c r="O100" s="99"/>
      <c r="P100" s="99">
        <v>14772</v>
      </c>
      <c r="Q100" s="99"/>
      <c r="R100" s="99"/>
      <c r="S100" s="99">
        <v>13716</v>
      </c>
      <c r="T100" s="99"/>
      <c r="U100" s="99"/>
      <c r="V100" s="99"/>
      <c r="W100" s="99"/>
      <c r="X100" s="99"/>
      <c r="Y100" s="99"/>
      <c r="Z100" s="99"/>
      <c r="AA100" s="99"/>
      <c r="AB100" s="99">
        <v>899</v>
      </c>
      <c r="AC100" s="99"/>
      <c r="AD100" s="99"/>
      <c r="AE100" s="99"/>
      <c r="AF100" s="99"/>
      <c r="AG100" s="99"/>
      <c r="AH100" s="99"/>
      <c r="AI100" s="91"/>
    </row>
    <row r="101" spans="1:35" s="4" customFormat="1" ht="19.5" thickBot="1" x14ac:dyDescent="0.35">
      <c r="A101" s="248">
        <v>1540</v>
      </c>
      <c r="B101" s="268" t="s">
        <v>274</v>
      </c>
      <c r="C101" s="106">
        <v>50949</v>
      </c>
      <c r="D101" s="278"/>
      <c r="E101" s="106"/>
      <c r="F101" s="106">
        <f t="shared" si="3"/>
        <v>50949</v>
      </c>
      <c r="G101" s="106">
        <f t="shared" si="4"/>
        <v>0</v>
      </c>
      <c r="H101" s="91"/>
      <c r="I101" s="99"/>
      <c r="K101" s="99"/>
      <c r="L101" s="99">
        <v>25208</v>
      </c>
      <c r="M101" s="99"/>
      <c r="N101" s="99"/>
      <c r="O101" s="99"/>
      <c r="P101" s="99">
        <v>5589</v>
      </c>
      <c r="Q101" s="99"/>
      <c r="R101" s="99"/>
      <c r="S101" s="99">
        <v>14338</v>
      </c>
      <c r="T101" s="99"/>
      <c r="U101" s="99"/>
      <c r="V101" s="99">
        <v>2432</v>
      </c>
      <c r="W101" s="99"/>
      <c r="X101" s="99"/>
      <c r="Y101" s="99"/>
      <c r="Z101" s="99">
        <v>3382</v>
      </c>
      <c r="AA101" s="99"/>
      <c r="AB101" s="99"/>
      <c r="AC101" s="99"/>
      <c r="AD101" s="99"/>
      <c r="AE101" s="99"/>
      <c r="AF101" s="99"/>
      <c r="AG101" s="99"/>
      <c r="AH101" s="99"/>
      <c r="AI101" s="91"/>
    </row>
    <row r="102" spans="1:35" s="4" customFormat="1" ht="19.5" thickBot="1" x14ac:dyDescent="0.35">
      <c r="A102" s="248">
        <v>1550</v>
      </c>
      <c r="B102" s="268" t="s">
        <v>275</v>
      </c>
      <c r="C102" s="106">
        <v>680388</v>
      </c>
      <c r="D102" s="278"/>
      <c r="E102" s="106"/>
      <c r="F102" s="106">
        <f t="shared" si="3"/>
        <v>680388</v>
      </c>
      <c r="G102" s="106">
        <f t="shared" si="4"/>
        <v>0</v>
      </c>
      <c r="H102" s="91"/>
      <c r="I102" s="99"/>
      <c r="K102" s="99"/>
      <c r="L102" s="99"/>
      <c r="M102" s="99"/>
      <c r="N102" s="99">
        <v>114377</v>
      </c>
      <c r="O102" s="99"/>
      <c r="P102" s="99">
        <v>117428</v>
      </c>
      <c r="Q102" s="99"/>
      <c r="R102" s="99">
        <v>102932</v>
      </c>
      <c r="S102" s="99"/>
      <c r="T102" s="99">
        <v>103850</v>
      </c>
      <c r="U102" s="99"/>
      <c r="V102" s="99"/>
      <c r="W102" s="99"/>
      <c r="X102" s="99">
        <f>133402+108399</f>
        <v>241801</v>
      </c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1"/>
    </row>
    <row r="103" spans="1:35" s="4" customFormat="1" ht="19.5" thickBot="1" x14ac:dyDescent="0.35">
      <c r="A103" s="248">
        <v>1560</v>
      </c>
      <c r="B103" s="268" t="s">
        <v>276</v>
      </c>
      <c r="C103" s="106">
        <v>353309</v>
      </c>
      <c r="D103" s="278"/>
      <c r="E103" s="106"/>
      <c r="F103" s="106">
        <f t="shared" si="3"/>
        <v>353309</v>
      </c>
      <c r="G103" s="106">
        <f t="shared" si="4"/>
        <v>0</v>
      </c>
      <c r="H103" s="91"/>
      <c r="I103" s="99"/>
      <c r="K103" s="99"/>
      <c r="L103" s="99">
        <v>10165</v>
      </c>
      <c r="M103" s="99">
        <v>53583</v>
      </c>
      <c r="N103" s="99">
        <v>17952</v>
      </c>
      <c r="O103" s="99">
        <v>28620</v>
      </c>
      <c r="P103" s="99">
        <v>30430</v>
      </c>
      <c r="Q103" s="99">
        <v>31010</v>
      </c>
      <c r="R103" s="99">
        <v>21961</v>
      </c>
      <c r="S103" s="99">
        <f>48395+82781</f>
        <v>131176</v>
      </c>
      <c r="T103" s="99"/>
      <c r="U103" s="99">
        <v>1946</v>
      </c>
      <c r="V103" s="99">
        <v>18936</v>
      </c>
      <c r="W103" s="99"/>
      <c r="X103" s="99">
        <v>7530</v>
      </c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1"/>
    </row>
    <row r="104" spans="1:35" s="4" customFormat="1" ht="19.5" thickBot="1" x14ac:dyDescent="0.35">
      <c r="A104" s="248">
        <v>1570</v>
      </c>
      <c r="B104" s="268" t="s">
        <v>277</v>
      </c>
      <c r="C104" s="106">
        <v>40158</v>
      </c>
      <c r="D104" s="278"/>
      <c r="E104" s="106"/>
      <c r="F104" s="106">
        <f t="shared" si="3"/>
        <v>40158</v>
      </c>
      <c r="G104" s="106">
        <f t="shared" si="4"/>
        <v>0</v>
      </c>
      <c r="H104" s="91"/>
      <c r="I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>
        <v>22636</v>
      </c>
      <c r="U104" s="99"/>
      <c r="V104" s="99"/>
      <c r="W104" s="99"/>
      <c r="X104" s="99"/>
      <c r="Y104" s="99">
        <v>17003</v>
      </c>
      <c r="Z104" s="99"/>
      <c r="AA104" s="99"/>
      <c r="AB104" s="99"/>
      <c r="AC104" s="99">
        <v>519</v>
      </c>
      <c r="AD104" s="99"/>
      <c r="AE104" s="99"/>
      <c r="AF104" s="99"/>
      <c r="AG104" s="99"/>
      <c r="AH104" s="99"/>
      <c r="AI104" s="91"/>
    </row>
    <row r="105" spans="1:35" s="4" customFormat="1" ht="19.5" thickBot="1" x14ac:dyDescent="0.35">
      <c r="A105" s="248">
        <v>1580</v>
      </c>
      <c r="B105" s="268" t="s">
        <v>278</v>
      </c>
      <c r="C105" s="106">
        <v>115722</v>
      </c>
      <c r="D105" s="278"/>
      <c r="E105" s="106"/>
      <c r="F105" s="106">
        <f t="shared" si="3"/>
        <v>115722</v>
      </c>
      <c r="G105" s="106">
        <f t="shared" si="4"/>
        <v>0</v>
      </c>
      <c r="H105" s="91"/>
      <c r="I105" s="99"/>
      <c r="K105" s="99"/>
      <c r="L105" s="99"/>
      <c r="M105" s="99"/>
      <c r="N105" s="99"/>
      <c r="O105" s="99"/>
      <c r="P105" s="99">
        <v>6058</v>
      </c>
      <c r="Q105" s="99">
        <v>18262</v>
      </c>
      <c r="R105" s="99">
        <v>12204</v>
      </c>
      <c r="S105" s="99">
        <f>12204+6102</f>
        <v>18306</v>
      </c>
      <c r="T105" s="99"/>
      <c r="U105" s="99"/>
      <c r="V105" s="99">
        <v>5780</v>
      </c>
      <c r="W105" s="99"/>
      <c r="X105" s="99"/>
      <c r="Y105" s="99"/>
      <c r="Z105" s="99"/>
      <c r="AA105" s="99">
        <v>10624</v>
      </c>
      <c r="AB105" s="99"/>
      <c r="AC105" s="99">
        <v>34566</v>
      </c>
      <c r="AD105" s="99"/>
      <c r="AE105" s="99">
        <v>9922</v>
      </c>
      <c r="AF105" s="99"/>
      <c r="AG105" s="99"/>
      <c r="AH105" s="99"/>
      <c r="AI105" s="91"/>
    </row>
    <row r="106" spans="1:35" s="4" customFormat="1" ht="19.5" thickBot="1" x14ac:dyDescent="0.35">
      <c r="A106" s="248">
        <v>1590</v>
      </c>
      <c r="B106" s="268" t="s">
        <v>279</v>
      </c>
      <c r="C106" s="106">
        <v>9071</v>
      </c>
      <c r="D106" s="278"/>
      <c r="E106" s="106"/>
      <c r="F106" s="106">
        <f t="shared" si="3"/>
        <v>9071</v>
      </c>
      <c r="G106" s="106">
        <f t="shared" si="4"/>
        <v>0</v>
      </c>
      <c r="H106" s="91"/>
      <c r="I106" s="99"/>
      <c r="K106" s="99"/>
      <c r="L106" s="99"/>
      <c r="M106" s="99"/>
      <c r="N106" s="99"/>
      <c r="O106" s="99"/>
      <c r="P106" s="99">
        <v>9071</v>
      </c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1"/>
    </row>
    <row r="107" spans="1:35" s="4" customFormat="1" ht="19.5" thickBot="1" x14ac:dyDescent="0.35">
      <c r="A107" s="248">
        <v>1600</v>
      </c>
      <c r="B107" s="268" t="s">
        <v>280</v>
      </c>
      <c r="C107" s="106">
        <v>12650</v>
      </c>
      <c r="D107" s="278"/>
      <c r="E107" s="106"/>
      <c r="F107" s="106">
        <f t="shared" si="3"/>
        <v>12650</v>
      </c>
      <c r="G107" s="106">
        <f t="shared" si="4"/>
        <v>0</v>
      </c>
      <c r="H107" s="91"/>
      <c r="I107" s="99"/>
      <c r="K107" s="99"/>
      <c r="L107" s="99"/>
      <c r="M107" s="99"/>
      <c r="N107" s="99"/>
      <c r="O107" s="99"/>
      <c r="P107" s="99">
        <v>12650</v>
      </c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1"/>
    </row>
    <row r="108" spans="1:35" s="4" customFormat="1" ht="19.5" thickBot="1" x14ac:dyDescent="0.35">
      <c r="A108" s="248">
        <v>1620</v>
      </c>
      <c r="B108" s="268" t="s">
        <v>281</v>
      </c>
      <c r="C108" s="106">
        <v>18015</v>
      </c>
      <c r="D108" s="278"/>
      <c r="E108" s="106"/>
      <c r="F108" s="106">
        <f t="shared" si="3"/>
        <v>18015</v>
      </c>
      <c r="G108" s="106">
        <f t="shared" si="4"/>
        <v>0</v>
      </c>
      <c r="H108" s="91"/>
      <c r="I108" s="99"/>
      <c r="K108" s="99"/>
      <c r="L108" s="99">
        <v>18025</v>
      </c>
      <c r="M108" s="99"/>
      <c r="N108" s="99"/>
      <c r="O108" s="99"/>
      <c r="P108" s="99"/>
      <c r="Q108" s="99">
        <v>-10</v>
      </c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1"/>
    </row>
    <row r="109" spans="1:35" s="4" customFormat="1" ht="19.5" thickBot="1" x14ac:dyDescent="0.35">
      <c r="A109" s="248">
        <v>1750</v>
      </c>
      <c r="B109" s="288" t="s">
        <v>282</v>
      </c>
      <c r="C109" s="106">
        <v>465</v>
      </c>
      <c r="D109" s="278"/>
      <c r="E109" s="106"/>
      <c r="F109" s="106">
        <f t="shared" si="3"/>
        <v>0</v>
      </c>
      <c r="G109" s="106">
        <f t="shared" si="4"/>
        <v>465</v>
      </c>
      <c r="H109" s="91"/>
      <c r="I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1"/>
    </row>
    <row r="110" spans="1:35" s="4" customFormat="1" ht="19.5" thickBot="1" x14ac:dyDescent="0.35">
      <c r="A110" s="248">
        <v>1760</v>
      </c>
      <c r="B110" s="268" t="s">
        <v>283</v>
      </c>
      <c r="C110" s="106">
        <v>5322</v>
      </c>
      <c r="D110" s="278"/>
      <c r="E110" s="106"/>
      <c r="F110" s="106">
        <f t="shared" si="3"/>
        <v>5322</v>
      </c>
      <c r="G110" s="106">
        <f t="shared" si="4"/>
        <v>0</v>
      </c>
      <c r="H110" s="91"/>
      <c r="I110" s="99"/>
      <c r="K110" s="99"/>
      <c r="L110" s="99"/>
      <c r="M110" s="99"/>
      <c r="N110" s="99"/>
      <c r="O110" s="99"/>
      <c r="P110" s="99"/>
      <c r="Q110" s="99"/>
      <c r="R110" s="99"/>
      <c r="S110" s="99">
        <v>5322</v>
      </c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1"/>
    </row>
    <row r="111" spans="1:35" s="4" customFormat="1" ht="19.5" thickBot="1" x14ac:dyDescent="0.35">
      <c r="A111" s="248">
        <v>1780</v>
      </c>
      <c r="B111" s="268" t="s">
        <v>284</v>
      </c>
      <c r="C111" s="106">
        <v>11505</v>
      </c>
      <c r="D111" s="278" t="s">
        <v>375</v>
      </c>
      <c r="E111" s="106">
        <f t="shared" si="5"/>
        <v>11505</v>
      </c>
      <c r="F111" s="106">
        <f t="shared" si="3"/>
        <v>0</v>
      </c>
      <c r="G111" s="106">
        <f t="shared" si="4"/>
        <v>0</v>
      </c>
      <c r="H111" s="91"/>
      <c r="I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1"/>
    </row>
    <row r="112" spans="1:35" s="4" customFormat="1" ht="19.5" thickBot="1" x14ac:dyDescent="0.35">
      <c r="A112" s="248">
        <v>1790</v>
      </c>
      <c r="B112" s="268" t="s">
        <v>285</v>
      </c>
      <c r="C112" s="106">
        <v>19313</v>
      </c>
      <c r="D112" s="278" t="s">
        <v>375</v>
      </c>
      <c r="E112" s="106">
        <f t="shared" si="5"/>
        <v>19313</v>
      </c>
      <c r="F112" s="106">
        <f t="shared" si="3"/>
        <v>0</v>
      </c>
      <c r="G112" s="106">
        <f t="shared" si="4"/>
        <v>0</v>
      </c>
      <c r="H112" s="91"/>
      <c r="I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1"/>
    </row>
    <row r="113" spans="1:35" s="4" customFormat="1" ht="19.5" thickBot="1" x14ac:dyDescent="0.35">
      <c r="A113" s="248">
        <v>1810</v>
      </c>
      <c r="B113" s="268" t="s">
        <v>286</v>
      </c>
      <c r="C113" s="106">
        <v>3317</v>
      </c>
      <c r="D113" s="278" t="s">
        <v>375</v>
      </c>
      <c r="E113" s="106">
        <f t="shared" si="5"/>
        <v>3317</v>
      </c>
      <c r="F113" s="106">
        <f t="shared" si="3"/>
        <v>0</v>
      </c>
      <c r="G113" s="106">
        <f t="shared" si="4"/>
        <v>0</v>
      </c>
      <c r="H113" s="91"/>
      <c r="I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1"/>
    </row>
    <row r="114" spans="1:35" s="4" customFormat="1" ht="19.5" thickBot="1" x14ac:dyDescent="0.35">
      <c r="A114" s="248">
        <v>1828</v>
      </c>
      <c r="B114" s="268" t="s">
        <v>287</v>
      </c>
      <c r="C114" s="106">
        <v>123112</v>
      </c>
      <c r="D114" s="278"/>
      <c r="E114" s="106"/>
      <c r="F114" s="106">
        <f t="shared" si="3"/>
        <v>123112</v>
      </c>
      <c r="G114" s="106">
        <f t="shared" si="4"/>
        <v>0</v>
      </c>
      <c r="H114" s="91"/>
      <c r="I114" s="99"/>
      <c r="K114" s="99"/>
      <c r="L114" s="99"/>
      <c r="M114" s="99"/>
      <c r="N114" s="99"/>
      <c r="O114" s="99">
        <v>3546</v>
      </c>
      <c r="P114" s="99">
        <v>3833</v>
      </c>
      <c r="Q114" s="99">
        <v>9244</v>
      </c>
      <c r="R114" s="99">
        <v>7857</v>
      </c>
      <c r="S114" s="99">
        <v>21590</v>
      </c>
      <c r="T114" s="99">
        <v>11194</v>
      </c>
      <c r="U114" s="99"/>
      <c r="V114" s="99">
        <v>10764</v>
      </c>
      <c r="W114" s="99"/>
      <c r="X114" s="99"/>
      <c r="Y114" s="99">
        <v>54926</v>
      </c>
      <c r="Z114" s="99">
        <v>158</v>
      </c>
      <c r="AA114" s="99"/>
      <c r="AB114" s="99"/>
      <c r="AC114" s="99"/>
      <c r="AD114" s="99"/>
      <c r="AE114" s="99"/>
      <c r="AF114" s="99"/>
      <c r="AG114" s="99"/>
      <c r="AH114" s="99"/>
      <c r="AI114" s="91"/>
    </row>
    <row r="115" spans="1:35" s="4" customFormat="1" ht="19.5" thickBot="1" x14ac:dyDescent="0.35">
      <c r="A115" s="248">
        <v>1850</v>
      </c>
      <c r="B115" s="268" t="s">
        <v>288</v>
      </c>
      <c r="C115" s="106">
        <v>5854</v>
      </c>
      <c r="D115" s="278" t="s">
        <v>377</v>
      </c>
      <c r="E115" s="106">
        <f t="shared" si="5"/>
        <v>5854</v>
      </c>
      <c r="F115" s="106">
        <f t="shared" si="3"/>
        <v>0</v>
      </c>
      <c r="G115" s="106">
        <f t="shared" si="4"/>
        <v>0</v>
      </c>
      <c r="H115" s="91"/>
      <c r="I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1"/>
    </row>
    <row r="116" spans="1:35" s="4" customFormat="1" ht="19.5" thickBot="1" x14ac:dyDescent="0.35">
      <c r="A116" s="248">
        <v>1860</v>
      </c>
      <c r="B116" s="268" t="s">
        <v>289</v>
      </c>
      <c r="C116" s="106">
        <v>7600</v>
      </c>
      <c r="D116" s="278"/>
      <c r="E116" s="106"/>
      <c r="F116" s="106">
        <f t="shared" si="3"/>
        <v>7600</v>
      </c>
      <c r="G116" s="106">
        <f t="shared" si="4"/>
        <v>0</v>
      </c>
      <c r="H116" s="91"/>
      <c r="I116" s="99"/>
      <c r="K116" s="99"/>
      <c r="L116" s="99"/>
      <c r="M116" s="99"/>
      <c r="N116" s="99"/>
      <c r="O116" s="99"/>
      <c r="P116" s="99"/>
      <c r="Q116" s="99"/>
      <c r="R116" s="99"/>
      <c r="S116" s="99">
        <v>7600</v>
      </c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1"/>
    </row>
    <row r="117" spans="1:35" s="4" customFormat="1" ht="19.5" thickBot="1" x14ac:dyDescent="0.35">
      <c r="A117" s="248">
        <v>1870</v>
      </c>
      <c r="B117" s="268" t="s">
        <v>290</v>
      </c>
      <c r="C117" s="106">
        <v>5271</v>
      </c>
      <c r="D117" s="278" t="s">
        <v>377</v>
      </c>
      <c r="E117" s="106">
        <f t="shared" si="5"/>
        <v>5271</v>
      </c>
      <c r="F117" s="106">
        <f t="shared" si="3"/>
        <v>0</v>
      </c>
      <c r="G117" s="106">
        <f t="shared" si="4"/>
        <v>0</v>
      </c>
      <c r="H117" s="91"/>
      <c r="I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1"/>
    </row>
    <row r="118" spans="1:35" s="4" customFormat="1" ht="19.5" thickBot="1" x14ac:dyDescent="0.35">
      <c r="A118" s="248">
        <v>1980</v>
      </c>
      <c r="B118" s="268" t="s">
        <v>291</v>
      </c>
      <c r="C118" s="106">
        <v>6034</v>
      </c>
      <c r="D118" s="278"/>
      <c r="E118" s="106"/>
      <c r="F118" s="106">
        <f t="shared" si="3"/>
        <v>6034</v>
      </c>
      <c r="G118" s="106">
        <f t="shared" si="4"/>
        <v>0</v>
      </c>
      <c r="H118" s="91"/>
      <c r="I118" s="99"/>
      <c r="K118" s="99"/>
      <c r="L118" s="99"/>
      <c r="M118" s="99"/>
      <c r="N118" s="99"/>
      <c r="O118" s="99"/>
      <c r="P118" s="99"/>
      <c r="Q118" s="99">
        <v>6034</v>
      </c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1"/>
    </row>
    <row r="119" spans="1:35" s="4" customFormat="1" ht="19.5" thickBot="1" x14ac:dyDescent="0.35">
      <c r="A119" s="248">
        <v>1990</v>
      </c>
      <c r="B119" s="268" t="s">
        <v>292</v>
      </c>
      <c r="C119" s="106">
        <v>16767</v>
      </c>
      <c r="D119" s="278"/>
      <c r="E119" s="106"/>
      <c r="F119" s="106">
        <f t="shared" si="3"/>
        <v>16767</v>
      </c>
      <c r="G119" s="106">
        <f t="shared" si="4"/>
        <v>0</v>
      </c>
      <c r="H119" s="91"/>
      <c r="I119" s="99"/>
      <c r="K119" s="99">
        <v>14702</v>
      </c>
      <c r="L119" s="99"/>
      <c r="M119" s="99"/>
      <c r="N119" s="99">
        <v>2065</v>
      </c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1"/>
    </row>
    <row r="120" spans="1:35" s="4" customFormat="1" ht="19.5" thickBot="1" x14ac:dyDescent="0.35">
      <c r="A120" s="248">
        <v>2000</v>
      </c>
      <c r="B120" s="268" t="s">
        <v>293</v>
      </c>
      <c r="C120" s="106">
        <v>782549</v>
      </c>
      <c r="D120" s="278"/>
      <c r="E120" s="106"/>
      <c r="F120" s="106">
        <f t="shared" si="3"/>
        <v>782549</v>
      </c>
      <c r="G120" s="106">
        <f t="shared" si="4"/>
        <v>0</v>
      </c>
      <c r="H120" s="91"/>
      <c r="I120" s="99"/>
      <c r="K120" s="99"/>
      <c r="L120" s="99"/>
      <c r="M120" s="99">
        <v>4759</v>
      </c>
      <c r="N120" s="99"/>
      <c r="O120" s="99">
        <v>107235</v>
      </c>
      <c r="P120" s="99">
        <v>60595</v>
      </c>
      <c r="Q120" s="99">
        <v>52508</v>
      </c>
      <c r="R120" s="99">
        <v>66742</v>
      </c>
      <c r="S120" s="99">
        <f>52284+60027</f>
        <v>112311</v>
      </c>
      <c r="T120" s="99"/>
      <c r="U120" s="99">
        <v>36985</v>
      </c>
      <c r="V120" s="99">
        <v>25559</v>
      </c>
      <c r="W120" s="99"/>
      <c r="X120" s="99"/>
      <c r="Y120" s="99">
        <v>88329</v>
      </c>
      <c r="Z120" s="99">
        <v>49754</v>
      </c>
      <c r="AA120" s="99">
        <v>56133</v>
      </c>
      <c r="AB120" s="99">
        <v>45015</v>
      </c>
      <c r="AC120" s="99">
        <v>45378</v>
      </c>
      <c r="AD120" s="99">
        <v>31246</v>
      </c>
      <c r="AE120" s="99"/>
      <c r="AF120" s="99"/>
      <c r="AG120" s="99"/>
      <c r="AH120" s="99"/>
      <c r="AI120" s="91"/>
    </row>
    <row r="121" spans="1:35" s="4" customFormat="1" ht="19.5" thickBot="1" x14ac:dyDescent="0.35">
      <c r="A121" s="248">
        <v>2010</v>
      </c>
      <c r="B121" s="268" t="s">
        <v>294</v>
      </c>
      <c r="C121" s="106">
        <v>4429</v>
      </c>
      <c r="D121" s="278"/>
      <c r="E121" s="106"/>
      <c r="F121" s="106">
        <f t="shared" si="3"/>
        <v>4429</v>
      </c>
      <c r="G121" s="106">
        <f t="shared" si="4"/>
        <v>0</v>
      </c>
      <c r="H121" s="91"/>
      <c r="I121" s="99"/>
      <c r="K121" s="99"/>
      <c r="L121" s="99"/>
      <c r="M121" s="99"/>
      <c r="N121" s="99"/>
      <c r="O121" s="99"/>
      <c r="P121" s="99"/>
      <c r="Q121" s="99"/>
      <c r="R121" s="99">
        <v>4389</v>
      </c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>
        <v>40</v>
      </c>
      <c r="AE121" s="99"/>
      <c r="AF121" s="99"/>
      <c r="AG121" s="99"/>
      <c r="AH121" s="99"/>
      <c r="AI121" s="91"/>
    </row>
    <row r="122" spans="1:35" s="4" customFormat="1" ht="19.5" thickBot="1" x14ac:dyDescent="0.35">
      <c r="A122" s="248">
        <v>2020</v>
      </c>
      <c r="B122" s="268" t="s">
        <v>295</v>
      </c>
      <c r="C122" s="106">
        <v>90364</v>
      </c>
      <c r="D122" s="278"/>
      <c r="E122" s="106"/>
      <c r="F122" s="106">
        <f t="shared" si="3"/>
        <v>90364</v>
      </c>
      <c r="G122" s="106">
        <f t="shared" si="4"/>
        <v>0</v>
      </c>
      <c r="H122" s="91"/>
      <c r="I122" s="99"/>
      <c r="K122" s="99"/>
      <c r="L122" s="99"/>
      <c r="M122" s="99"/>
      <c r="N122" s="99"/>
      <c r="O122" s="99"/>
      <c r="P122" s="99"/>
      <c r="Q122" s="99"/>
      <c r="R122" s="99"/>
      <c r="S122" s="99">
        <v>90321</v>
      </c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>
        <v>43</v>
      </c>
      <c r="AF122" s="99"/>
      <c r="AG122" s="99"/>
      <c r="AH122" s="99"/>
      <c r="AI122" s="91"/>
    </row>
    <row r="123" spans="1:35" s="4" customFormat="1" ht="19.5" thickBot="1" x14ac:dyDescent="0.35">
      <c r="A123" s="248">
        <v>2035</v>
      </c>
      <c r="B123" s="268" t="s">
        <v>296</v>
      </c>
      <c r="C123" s="106">
        <v>185435</v>
      </c>
      <c r="D123" s="278"/>
      <c r="E123" s="106"/>
      <c r="F123" s="106">
        <f t="shared" si="3"/>
        <v>185435</v>
      </c>
      <c r="G123" s="106">
        <f t="shared" si="4"/>
        <v>0</v>
      </c>
      <c r="H123" s="91"/>
      <c r="I123" s="99"/>
      <c r="K123" s="99">
        <v>2645</v>
      </c>
      <c r="L123" s="99">
        <v>33872</v>
      </c>
      <c r="M123" s="99">
        <v>346</v>
      </c>
      <c r="N123" s="99">
        <v>22674</v>
      </c>
      <c r="O123" s="99">
        <v>22828</v>
      </c>
      <c r="P123" s="99">
        <v>13550</v>
      </c>
      <c r="Q123" s="99">
        <v>11550</v>
      </c>
      <c r="R123" s="99">
        <v>23051</v>
      </c>
      <c r="S123" s="99">
        <v>15091</v>
      </c>
      <c r="T123" s="99">
        <v>11000</v>
      </c>
      <c r="U123" s="99">
        <v>8528</v>
      </c>
      <c r="V123" s="99">
        <v>16128</v>
      </c>
      <c r="W123" s="99"/>
      <c r="X123" s="99">
        <v>4172</v>
      </c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1"/>
    </row>
    <row r="124" spans="1:35" s="4" customFormat="1" ht="19.5" thickBot="1" x14ac:dyDescent="0.35">
      <c r="A124" s="248">
        <v>2055</v>
      </c>
      <c r="B124" s="268" t="s">
        <v>297</v>
      </c>
      <c r="C124" s="106">
        <v>23942</v>
      </c>
      <c r="D124" s="278"/>
      <c r="E124" s="106"/>
      <c r="F124" s="106">
        <f t="shared" si="3"/>
        <v>23942</v>
      </c>
      <c r="G124" s="106">
        <f t="shared" si="4"/>
        <v>0</v>
      </c>
      <c r="H124" s="91"/>
      <c r="I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>
        <v>9880</v>
      </c>
      <c r="AB124" s="99"/>
      <c r="AC124" s="99">
        <v>1206</v>
      </c>
      <c r="AD124" s="99"/>
      <c r="AE124" s="99"/>
      <c r="AF124" s="99">
        <v>12856</v>
      </c>
      <c r="AG124" s="99"/>
      <c r="AH124" s="99"/>
      <c r="AI124" s="91"/>
    </row>
    <row r="125" spans="1:35" s="4" customFormat="1" ht="19.5" thickBot="1" x14ac:dyDescent="0.35">
      <c r="A125" s="248">
        <v>2070</v>
      </c>
      <c r="B125" s="268" t="s">
        <v>298</v>
      </c>
      <c r="C125" s="106">
        <v>21863</v>
      </c>
      <c r="D125" s="278"/>
      <c r="E125" s="106"/>
      <c r="F125" s="106">
        <f t="shared" si="3"/>
        <v>21863</v>
      </c>
      <c r="G125" s="106">
        <f t="shared" si="4"/>
        <v>0</v>
      </c>
      <c r="H125" s="91"/>
      <c r="I125" s="99"/>
      <c r="K125" s="99"/>
      <c r="L125" s="99"/>
      <c r="M125" s="99"/>
      <c r="N125" s="99"/>
      <c r="O125" s="99">
        <v>8948</v>
      </c>
      <c r="P125" s="99"/>
      <c r="Q125" s="99"/>
      <c r="R125" s="99">
        <v>5458</v>
      </c>
      <c r="S125" s="99"/>
      <c r="T125" s="99">
        <v>7457</v>
      </c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1"/>
    </row>
    <row r="126" spans="1:35" s="4" customFormat="1" ht="19.5" thickBot="1" x14ac:dyDescent="0.35">
      <c r="A126" s="248">
        <v>2180</v>
      </c>
      <c r="B126" s="268" t="s">
        <v>299</v>
      </c>
      <c r="C126" s="106">
        <v>228147</v>
      </c>
      <c r="D126" s="278"/>
      <c r="E126" s="106"/>
      <c r="F126" s="106">
        <f t="shared" si="3"/>
        <v>228147</v>
      </c>
      <c r="G126" s="106">
        <f t="shared" si="4"/>
        <v>0</v>
      </c>
      <c r="H126" s="91"/>
      <c r="I126" s="99"/>
      <c r="K126" s="99"/>
      <c r="L126" s="99"/>
      <c r="M126" s="99"/>
      <c r="N126" s="99"/>
      <c r="O126" s="99"/>
      <c r="P126" s="99">
        <v>8521</v>
      </c>
      <c r="Q126" s="99">
        <v>34993</v>
      </c>
      <c r="R126" s="99">
        <v>9423</v>
      </c>
      <c r="S126" s="99">
        <v>32242</v>
      </c>
      <c r="T126" s="99"/>
      <c r="U126" s="99">
        <v>18058</v>
      </c>
      <c r="V126" s="99">
        <v>3295</v>
      </c>
      <c r="W126" s="99">
        <v>68574</v>
      </c>
      <c r="X126" s="99">
        <v>22339</v>
      </c>
      <c r="Y126" s="99">
        <v>23116</v>
      </c>
      <c r="Z126" s="99">
        <v>7586</v>
      </c>
      <c r="AA126" s="99"/>
      <c r="AB126" s="99"/>
      <c r="AC126" s="99"/>
      <c r="AD126" s="99"/>
      <c r="AE126" s="99"/>
      <c r="AF126" s="99"/>
      <c r="AG126" s="99"/>
      <c r="AH126" s="99"/>
      <c r="AI126" s="91"/>
    </row>
    <row r="127" spans="1:35" s="4" customFormat="1" ht="19.5" thickBot="1" x14ac:dyDescent="0.35">
      <c r="A127" s="248">
        <v>2190</v>
      </c>
      <c r="B127" s="268" t="s">
        <v>300</v>
      </c>
      <c r="C127" s="106">
        <v>18105</v>
      </c>
      <c r="D127" s="278"/>
      <c r="E127" s="106"/>
      <c r="F127" s="106">
        <f t="shared" si="3"/>
        <v>18105</v>
      </c>
      <c r="G127" s="106">
        <f t="shared" si="4"/>
        <v>0</v>
      </c>
      <c r="H127" s="91"/>
      <c r="I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>
        <v>60</v>
      </c>
      <c r="AA127" s="99"/>
      <c r="AB127" s="99"/>
      <c r="AC127" s="99"/>
      <c r="AD127" s="99"/>
      <c r="AE127" s="99">
        <v>8038</v>
      </c>
      <c r="AF127" s="99">
        <v>3866</v>
      </c>
      <c r="AG127" s="99"/>
      <c r="AH127" s="99">
        <v>6141</v>
      </c>
      <c r="AI127" s="91"/>
    </row>
    <row r="128" spans="1:35" s="4" customFormat="1" ht="19.5" thickBot="1" x14ac:dyDescent="0.35">
      <c r="A128" s="248">
        <v>2395</v>
      </c>
      <c r="B128" s="268" t="s">
        <v>301</v>
      </c>
      <c r="C128" s="106">
        <v>55531</v>
      </c>
      <c r="D128" s="278" t="s">
        <v>376</v>
      </c>
      <c r="E128" s="106">
        <f t="shared" si="5"/>
        <v>55531</v>
      </c>
      <c r="F128" s="106">
        <f t="shared" si="3"/>
        <v>0</v>
      </c>
      <c r="G128" s="106">
        <f t="shared" si="4"/>
        <v>0</v>
      </c>
      <c r="H128" s="91"/>
      <c r="I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1"/>
    </row>
    <row r="129" spans="1:35" s="4" customFormat="1" ht="19.5" thickBot="1" x14ac:dyDescent="0.35">
      <c r="A129" s="248">
        <v>2405</v>
      </c>
      <c r="B129" s="268" t="s">
        <v>302</v>
      </c>
      <c r="C129" s="106">
        <v>145686</v>
      </c>
      <c r="D129" s="278"/>
      <c r="E129" s="106"/>
      <c r="F129" s="106">
        <f t="shared" si="3"/>
        <v>145686</v>
      </c>
      <c r="G129" s="106">
        <f t="shared" si="4"/>
        <v>0</v>
      </c>
      <c r="H129" s="91"/>
      <c r="I129" s="99"/>
      <c r="K129" s="99">
        <v>4987</v>
      </c>
      <c r="L129" s="191">
        <v>11045</v>
      </c>
      <c r="M129" s="99">
        <v>11045</v>
      </c>
      <c r="N129" s="99">
        <v>11044</v>
      </c>
      <c r="O129" s="99">
        <v>10728</v>
      </c>
      <c r="P129" s="99">
        <v>10728</v>
      </c>
      <c r="Q129" s="99">
        <v>10728</v>
      </c>
      <c r="R129" s="99">
        <v>10728</v>
      </c>
      <c r="S129" s="99">
        <v>10729</v>
      </c>
      <c r="T129" s="99">
        <v>10665</v>
      </c>
      <c r="U129" s="99">
        <v>10666</v>
      </c>
      <c r="V129" s="99">
        <v>9422</v>
      </c>
      <c r="W129" s="99">
        <v>13656</v>
      </c>
      <c r="X129" s="99">
        <v>6884</v>
      </c>
      <c r="Y129" s="99">
        <v>2631</v>
      </c>
      <c r="Z129" s="99"/>
      <c r="AA129" s="99"/>
      <c r="AB129" s="99"/>
      <c r="AC129" s="99"/>
      <c r="AD129" s="99"/>
      <c r="AE129" s="99"/>
      <c r="AF129" s="99"/>
      <c r="AG129" s="99"/>
      <c r="AH129" s="99"/>
      <c r="AI129" s="91"/>
    </row>
    <row r="130" spans="1:35" s="4" customFormat="1" ht="19.5" thickBot="1" x14ac:dyDescent="0.35">
      <c r="A130" s="248">
        <v>2505</v>
      </c>
      <c r="B130" s="268" t="s">
        <v>303</v>
      </c>
      <c r="C130" s="106">
        <v>6953</v>
      </c>
      <c r="D130" s="278" t="s">
        <v>376</v>
      </c>
      <c r="E130" s="106">
        <f t="shared" si="5"/>
        <v>6953</v>
      </c>
      <c r="F130" s="106">
        <f t="shared" si="3"/>
        <v>0</v>
      </c>
      <c r="G130" s="106">
        <f t="shared" si="4"/>
        <v>0</v>
      </c>
      <c r="H130" s="91"/>
      <c r="I130" s="99"/>
      <c r="K130" s="99"/>
      <c r="L130" s="191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1"/>
    </row>
    <row r="131" spans="1:35" s="4" customFormat="1" ht="19.5" thickBot="1" x14ac:dyDescent="0.35">
      <c r="A131" s="248">
        <v>2515</v>
      </c>
      <c r="B131" s="268" t="s">
        <v>304</v>
      </c>
      <c r="C131" s="106">
        <v>13946</v>
      </c>
      <c r="D131" s="278" t="s">
        <v>376</v>
      </c>
      <c r="E131" s="106">
        <f t="shared" si="5"/>
        <v>13946</v>
      </c>
      <c r="F131" s="106">
        <f t="shared" si="3"/>
        <v>0</v>
      </c>
      <c r="G131" s="106">
        <f t="shared" si="4"/>
        <v>0</v>
      </c>
      <c r="H131" s="91"/>
      <c r="I131" s="99"/>
      <c r="K131" s="99"/>
      <c r="L131" s="191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1"/>
    </row>
    <row r="132" spans="1:35" s="4" customFormat="1" ht="19.5" thickBot="1" x14ac:dyDescent="0.35">
      <c r="A132" s="248">
        <v>2520</v>
      </c>
      <c r="B132" s="268" t="s">
        <v>305</v>
      </c>
      <c r="C132" s="106">
        <v>101865</v>
      </c>
      <c r="D132" s="278"/>
      <c r="E132" s="106"/>
      <c r="F132" s="106">
        <f t="shared" si="3"/>
        <v>101865</v>
      </c>
      <c r="G132" s="106">
        <f t="shared" si="4"/>
        <v>0</v>
      </c>
      <c r="H132" s="91"/>
      <c r="I132" s="99"/>
      <c r="K132" s="99">
        <v>21972</v>
      </c>
      <c r="L132" s="191">
        <v>10607</v>
      </c>
      <c r="M132" s="99"/>
      <c r="N132" s="99"/>
      <c r="O132" s="99">
        <v>10612</v>
      </c>
      <c r="P132" s="99">
        <v>10607</v>
      </c>
      <c r="Q132" s="99">
        <v>32018</v>
      </c>
      <c r="R132" s="99">
        <v>10700</v>
      </c>
      <c r="S132" s="99">
        <v>5349</v>
      </c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1"/>
    </row>
    <row r="133" spans="1:35" s="4" customFormat="1" ht="19.5" thickBot="1" x14ac:dyDescent="0.35">
      <c r="A133" s="248">
        <v>2530</v>
      </c>
      <c r="B133" s="268" t="s">
        <v>306</v>
      </c>
      <c r="C133" s="106">
        <v>101688</v>
      </c>
      <c r="D133" s="278"/>
      <c r="E133" s="106"/>
      <c r="F133" s="106">
        <f t="shared" si="3"/>
        <v>101688</v>
      </c>
      <c r="G133" s="106">
        <f t="shared" si="4"/>
        <v>0</v>
      </c>
      <c r="H133" s="91"/>
      <c r="I133" s="99"/>
      <c r="K133" s="99"/>
      <c r="L133" s="191"/>
      <c r="M133" s="99"/>
      <c r="N133" s="99"/>
      <c r="O133" s="99"/>
      <c r="P133" s="99"/>
      <c r="Q133" s="99"/>
      <c r="R133" s="99">
        <v>52300</v>
      </c>
      <c r="S133" s="99">
        <v>20000</v>
      </c>
      <c r="T133" s="99"/>
      <c r="U133" s="99"/>
      <c r="V133" s="99"/>
      <c r="W133" s="99"/>
      <c r="X133" s="99"/>
      <c r="Y133" s="99"/>
      <c r="Z133" s="99"/>
      <c r="AA133" s="99"/>
      <c r="AB133" s="99"/>
      <c r="AC133" s="99">
        <v>29388</v>
      </c>
      <c r="AD133" s="99"/>
      <c r="AE133" s="99"/>
      <c r="AF133" s="99"/>
      <c r="AG133" s="99"/>
      <c r="AH133" s="99"/>
      <c r="AI133" s="91"/>
    </row>
    <row r="134" spans="1:35" s="4" customFormat="1" ht="19.5" thickBot="1" x14ac:dyDescent="0.35">
      <c r="A134" s="248">
        <v>2535</v>
      </c>
      <c r="B134" s="268" t="s">
        <v>307</v>
      </c>
      <c r="C134" s="106">
        <v>14526</v>
      </c>
      <c r="D134" s="278"/>
      <c r="E134" s="106"/>
      <c r="F134" s="106">
        <f t="shared" si="3"/>
        <v>14526</v>
      </c>
      <c r="G134" s="106">
        <f t="shared" si="4"/>
        <v>0</v>
      </c>
      <c r="H134" s="91"/>
      <c r="I134" s="99"/>
      <c r="K134" s="99"/>
      <c r="L134" s="191"/>
      <c r="M134" s="99">
        <f>5286+4862</f>
        <v>10148</v>
      </c>
      <c r="N134" s="99"/>
      <c r="O134" s="99"/>
      <c r="P134" s="99"/>
      <c r="Q134" s="99">
        <v>4378</v>
      </c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1"/>
    </row>
    <row r="135" spans="1:35" s="4" customFormat="1" ht="19.5" thickBot="1" x14ac:dyDescent="0.35">
      <c r="A135" s="248">
        <v>2540</v>
      </c>
      <c r="B135" s="268" t="s">
        <v>308</v>
      </c>
      <c r="C135" s="106">
        <v>20985</v>
      </c>
      <c r="D135" s="278"/>
      <c r="E135" s="106"/>
      <c r="F135" s="106">
        <f t="shared" si="3"/>
        <v>20985</v>
      </c>
      <c r="G135" s="106">
        <f t="shared" si="4"/>
        <v>0</v>
      </c>
      <c r="H135" s="91"/>
      <c r="I135" s="99"/>
      <c r="K135" s="99"/>
      <c r="L135" s="191"/>
      <c r="M135" s="99"/>
      <c r="N135" s="99"/>
      <c r="O135" s="99"/>
      <c r="P135" s="99"/>
      <c r="Q135" s="99"/>
      <c r="R135" s="99"/>
      <c r="S135" s="99">
        <v>20985</v>
      </c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1"/>
    </row>
    <row r="136" spans="1:35" s="4" customFormat="1" ht="19.5" thickBot="1" x14ac:dyDescent="0.35">
      <c r="A136" s="248">
        <v>2560</v>
      </c>
      <c r="B136" s="268" t="s">
        <v>309</v>
      </c>
      <c r="C136" s="106">
        <v>9639</v>
      </c>
      <c r="D136" s="278"/>
      <c r="E136" s="106"/>
      <c r="F136" s="106">
        <f t="shared" si="3"/>
        <v>9639</v>
      </c>
      <c r="G136" s="106">
        <f t="shared" si="4"/>
        <v>0</v>
      </c>
      <c r="H136" s="91"/>
      <c r="I136" s="99"/>
      <c r="K136" s="99"/>
      <c r="L136" s="191"/>
      <c r="M136" s="99"/>
      <c r="N136" s="99"/>
      <c r="O136" s="99"/>
      <c r="P136" s="99">
        <v>8657</v>
      </c>
      <c r="Q136" s="99"/>
      <c r="R136" s="99"/>
      <c r="S136" s="99">
        <v>982</v>
      </c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1"/>
    </row>
    <row r="137" spans="1:35" s="4" customFormat="1" ht="19.5" thickBot="1" x14ac:dyDescent="0.35">
      <c r="A137" s="248">
        <v>2570</v>
      </c>
      <c r="B137" s="268" t="s">
        <v>310</v>
      </c>
      <c r="C137" s="106">
        <v>10497</v>
      </c>
      <c r="D137" s="278"/>
      <c r="E137" s="106"/>
      <c r="F137" s="106">
        <f t="shared" si="3"/>
        <v>10497</v>
      </c>
      <c r="G137" s="106">
        <f t="shared" si="4"/>
        <v>0</v>
      </c>
      <c r="H137" s="91"/>
      <c r="I137" s="99"/>
      <c r="K137" s="99"/>
      <c r="L137" s="191">
        <v>3152</v>
      </c>
      <c r="M137" s="99">
        <v>1050</v>
      </c>
      <c r="N137" s="99">
        <v>1050</v>
      </c>
      <c r="O137" s="99">
        <v>1052</v>
      </c>
      <c r="P137" s="99">
        <v>1050</v>
      </c>
      <c r="Q137" s="99">
        <v>1051</v>
      </c>
      <c r="R137" s="99"/>
      <c r="S137" s="99">
        <v>2092</v>
      </c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1"/>
    </row>
    <row r="138" spans="1:35" s="4" customFormat="1" ht="19.5" thickBot="1" x14ac:dyDescent="0.35">
      <c r="A138" s="248">
        <v>2580</v>
      </c>
      <c r="B138" s="268" t="s">
        <v>311</v>
      </c>
      <c r="C138" s="106">
        <v>6323</v>
      </c>
      <c r="D138" s="278"/>
      <c r="E138" s="106"/>
      <c r="F138" s="106">
        <f t="shared" si="3"/>
        <v>6323</v>
      </c>
      <c r="G138" s="106">
        <f t="shared" si="4"/>
        <v>0</v>
      </c>
      <c r="H138" s="91"/>
      <c r="I138" s="99"/>
      <c r="K138" s="99"/>
      <c r="L138" s="99"/>
      <c r="M138" s="99"/>
      <c r="N138" s="99"/>
      <c r="O138" s="99"/>
      <c r="P138" s="99"/>
      <c r="Q138" s="99"/>
      <c r="R138" s="99">
        <v>3305</v>
      </c>
      <c r="S138" s="99">
        <v>3018</v>
      </c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1"/>
    </row>
    <row r="139" spans="1:35" s="4" customFormat="1" ht="19.5" thickBot="1" x14ac:dyDescent="0.35">
      <c r="A139" s="248">
        <v>2590</v>
      </c>
      <c r="B139" s="268" t="s">
        <v>312</v>
      </c>
      <c r="C139" s="106">
        <v>8232</v>
      </c>
      <c r="D139" s="278"/>
      <c r="E139" s="106"/>
      <c r="F139" s="106">
        <f t="shared" si="3"/>
        <v>8232</v>
      </c>
      <c r="G139" s="106">
        <f t="shared" si="4"/>
        <v>0</v>
      </c>
      <c r="H139" s="91"/>
      <c r="I139" s="99"/>
      <c r="K139" s="99"/>
      <c r="L139" s="99"/>
      <c r="M139" s="99"/>
      <c r="N139" s="99"/>
      <c r="O139" s="99"/>
      <c r="P139" s="99"/>
      <c r="Q139" s="99">
        <v>2857</v>
      </c>
      <c r="R139" s="99"/>
      <c r="S139" s="99">
        <f>3862+1513</f>
        <v>5375</v>
      </c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1"/>
    </row>
    <row r="140" spans="1:35" s="4" customFormat="1" ht="19.5" thickBot="1" x14ac:dyDescent="0.35">
      <c r="A140" s="248">
        <v>2600</v>
      </c>
      <c r="B140" s="268" t="s">
        <v>313</v>
      </c>
      <c r="C140" s="106">
        <v>44670</v>
      </c>
      <c r="D140" s="278"/>
      <c r="E140" s="106"/>
      <c r="F140" s="106">
        <f t="shared" si="3"/>
        <v>44670</v>
      </c>
      <c r="G140" s="106">
        <f t="shared" si="4"/>
        <v>0</v>
      </c>
      <c r="H140" s="91"/>
      <c r="I140" s="99"/>
      <c r="K140" s="99"/>
      <c r="L140" s="99"/>
      <c r="M140" s="99"/>
      <c r="N140" s="99">
        <v>18151</v>
      </c>
      <c r="O140" s="99"/>
      <c r="P140" s="99">
        <v>7292</v>
      </c>
      <c r="Q140" s="99">
        <v>3645</v>
      </c>
      <c r="R140" s="99"/>
      <c r="S140" s="99">
        <v>10936</v>
      </c>
      <c r="T140" s="99"/>
      <c r="U140" s="99">
        <v>4646</v>
      </c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1"/>
    </row>
    <row r="141" spans="1:35" s="4" customFormat="1" ht="19.5" thickBot="1" x14ac:dyDescent="0.35">
      <c r="A141" s="248">
        <v>2610</v>
      </c>
      <c r="B141" s="268" t="s">
        <v>314</v>
      </c>
      <c r="C141" s="106">
        <v>17502</v>
      </c>
      <c r="D141" s="278"/>
      <c r="E141" s="106"/>
      <c r="F141" s="106">
        <f t="shared" si="3"/>
        <v>17502</v>
      </c>
      <c r="G141" s="106">
        <f t="shared" si="4"/>
        <v>0</v>
      </c>
      <c r="H141" s="91"/>
      <c r="I141" s="99"/>
      <c r="K141" s="99"/>
      <c r="L141" s="99"/>
      <c r="M141" s="99">
        <v>3610</v>
      </c>
      <c r="N141" s="99"/>
      <c r="O141" s="99">
        <v>2789</v>
      </c>
      <c r="P141" s="99">
        <v>3387</v>
      </c>
      <c r="Q141" s="99"/>
      <c r="R141" s="99">
        <v>3373</v>
      </c>
      <c r="S141" s="99">
        <v>4099</v>
      </c>
      <c r="T141" s="99"/>
      <c r="U141" s="99"/>
      <c r="V141" s="99"/>
      <c r="W141" s="99"/>
      <c r="X141" s="99">
        <v>244</v>
      </c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1"/>
    </row>
    <row r="142" spans="1:35" s="4" customFormat="1" ht="19.5" thickBot="1" x14ac:dyDescent="0.35">
      <c r="A142" s="248">
        <v>2620</v>
      </c>
      <c r="B142" s="268" t="s">
        <v>315</v>
      </c>
      <c r="C142" s="106">
        <v>19506</v>
      </c>
      <c r="D142" s="278"/>
      <c r="E142" s="106"/>
      <c r="F142" s="106">
        <f t="shared" ref="F142:F197" si="6">SUM(H142:AI142)</f>
        <v>19506</v>
      </c>
      <c r="G142" s="106">
        <f t="shared" ref="G142:G197" si="7">IF(ISBLANK(E142),C142-F142,C142-E142)</f>
        <v>0</v>
      </c>
      <c r="H142" s="91"/>
      <c r="I142" s="99"/>
      <c r="K142" s="99"/>
      <c r="L142" s="99"/>
      <c r="M142" s="99"/>
      <c r="N142" s="99"/>
      <c r="O142" s="99"/>
      <c r="P142" s="99"/>
      <c r="Q142" s="99">
        <v>19506</v>
      </c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1"/>
    </row>
    <row r="143" spans="1:35" s="4" customFormat="1" ht="19.5" thickBot="1" x14ac:dyDescent="0.35">
      <c r="A143" s="248">
        <v>2630</v>
      </c>
      <c r="B143" s="268" t="s">
        <v>316</v>
      </c>
      <c r="C143" s="106">
        <v>9172</v>
      </c>
      <c r="D143" s="278" t="s">
        <v>377</v>
      </c>
      <c r="E143" s="106">
        <f t="shared" ref="E143:E190" si="8">IF(ISBLANK(D143),,C143)</f>
        <v>9172</v>
      </c>
      <c r="F143" s="106">
        <f t="shared" si="6"/>
        <v>0</v>
      </c>
      <c r="G143" s="106">
        <f t="shared" si="7"/>
        <v>0</v>
      </c>
      <c r="H143" s="91"/>
      <c r="I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1"/>
    </row>
    <row r="144" spans="1:35" s="4" customFormat="1" ht="19.5" thickBot="1" x14ac:dyDescent="0.35">
      <c r="A144" s="248">
        <v>2640</v>
      </c>
      <c r="B144" s="268" t="s">
        <v>398</v>
      </c>
      <c r="C144" s="106">
        <v>24919</v>
      </c>
      <c r="D144" s="278"/>
      <c r="E144" s="106"/>
      <c r="F144" s="106">
        <f t="shared" si="6"/>
        <v>24919</v>
      </c>
      <c r="G144" s="106">
        <f t="shared" si="7"/>
        <v>0</v>
      </c>
      <c r="H144" s="91"/>
      <c r="I144" s="99"/>
      <c r="K144" s="99"/>
      <c r="L144" s="99"/>
      <c r="M144" s="99"/>
      <c r="N144" s="99"/>
      <c r="O144" s="99"/>
      <c r="P144" s="99">
        <v>12450</v>
      </c>
      <c r="Q144" s="99"/>
      <c r="R144" s="99"/>
      <c r="S144" s="99">
        <v>12469</v>
      </c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1"/>
    </row>
    <row r="145" spans="1:35" s="4" customFormat="1" ht="19.5" thickBot="1" x14ac:dyDescent="0.35">
      <c r="A145" s="248">
        <v>2650</v>
      </c>
      <c r="B145" s="268" t="s">
        <v>318</v>
      </c>
      <c r="C145" s="106">
        <v>14632</v>
      </c>
      <c r="D145" s="278"/>
      <c r="E145" s="106"/>
      <c r="F145" s="106">
        <f t="shared" si="6"/>
        <v>14632</v>
      </c>
      <c r="G145" s="106">
        <f t="shared" si="7"/>
        <v>0</v>
      </c>
      <c r="H145" s="91"/>
      <c r="I145" s="99"/>
      <c r="K145" s="99"/>
      <c r="L145" s="99"/>
      <c r="M145" s="99"/>
      <c r="N145" s="99"/>
      <c r="O145" s="99"/>
      <c r="P145" s="99">
        <v>5628</v>
      </c>
      <c r="Q145" s="99"/>
      <c r="R145" s="99"/>
      <c r="S145" s="99">
        <v>9004</v>
      </c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1"/>
    </row>
    <row r="146" spans="1:35" s="4" customFormat="1" ht="19.5" thickBot="1" x14ac:dyDescent="0.35">
      <c r="A146" s="248">
        <v>2660</v>
      </c>
      <c r="B146" s="268" t="s">
        <v>319</v>
      </c>
      <c r="C146" s="106">
        <v>119622</v>
      </c>
      <c r="D146" s="278"/>
      <c r="E146" s="106"/>
      <c r="F146" s="106">
        <f t="shared" si="6"/>
        <v>119622</v>
      </c>
      <c r="G146" s="106">
        <f t="shared" si="7"/>
        <v>0</v>
      </c>
      <c r="H146" s="91"/>
      <c r="I146" s="99"/>
      <c r="K146" s="99"/>
      <c r="L146" s="99">
        <f>8702+8322</f>
        <v>17024</v>
      </c>
      <c r="M146" s="99"/>
      <c r="N146" s="99">
        <v>8422</v>
      </c>
      <c r="O146" s="99">
        <v>17325</v>
      </c>
      <c r="P146" s="99">
        <v>7337</v>
      </c>
      <c r="Q146" s="99">
        <v>7693</v>
      </c>
      <c r="R146" s="99">
        <v>7336</v>
      </c>
      <c r="S146" s="99">
        <f>9278+8245</f>
        <v>17523</v>
      </c>
      <c r="T146" s="99">
        <v>8194</v>
      </c>
      <c r="U146" s="99"/>
      <c r="V146" s="99">
        <v>16562</v>
      </c>
      <c r="W146" s="99"/>
      <c r="X146" s="99"/>
      <c r="Y146" s="99"/>
      <c r="Z146" s="99">
        <v>12206</v>
      </c>
      <c r="AA146" s="99"/>
      <c r="AB146" s="99"/>
      <c r="AC146" s="99"/>
      <c r="AD146" s="99"/>
      <c r="AE146" s="99"/>
      <c r="AF146" s="99"/>
      <c r="AG146" s="99"/>
      <c r="AH146" s="99"/>
      <c r="AI146" s="91"/>
    </row>
    <row r="147" spans="1:35" s="4" customFormat="1" ht="19.5" thickBot="1" x14ac:dyDescent="0.35">
      <c r="A147" s="248">
        <v>2670</v>
      </c>
      <c r="B147" s="268" t="s">
        <v>320</v>
      </c>
      <c r="C147" s="106">
        <v>14989</v>
      </c>
      <c r="D147" s="278"/>
      <c r="E147" s="106"/>
      <c r="F147" s="106">
        <f t="shared" si="6"/>
        <v>14989</v>
      </c>
      <c r="G147" s="106">
        <f t="shared" si="7"/>
        <v>0</v>
      </c>
      <c r="H147" s="91"/>
      <c r="I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>
        <v>14989</v>
      </c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1"/>
    </row>
    <row r="148" spans="1:35" s="4" customFormat="1" ht="19.5" thickBot="1" x14ac:dyDescent="0.35">
      <c r="A148" s="248">
        <v>2680</v>
      </c>
      <c r="B148" s="268" t="s">
        <v>321</v>
      </c>
      <c r="C148" s="106">
        <v>13165</v>
      </c>
      <c r="D148" s="278"/>
      <c r="E148" s="106"/>
      <c r="F148" s="106">
        <f t="shared" si="6"/>
        <v>13165</v>
      </c>
      <c r="G148" s="106">
        <f t="shared" si="7"/>
        <v>0</v>
      </c>
      <c r="H148" s="91"/>
      <c r="I148" s="99"/>
      <c r="K148" s="99"/>
      <c r="L148" s="99">
        <v>7955</v>
      </c>
      <c r="M148" s="99">
        <v>1950</v>
      </c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>
        <v>435</v>
      </c>
      <c r="AD148" s="99">
        <v>2825</v>
      </c>
      <c r="AE148" s="99"/>
      <c r="AF148" s="99"/>
      <c r="AG148" s="99"/>
      <c r="AH148" s="99"/>
      <c r="AI148" s="91"/>
    </row>
    <row r="149" spans="1:35" s="4" customFormat="1" ht="19.5" thickBot="1" x14ac:dyDescent="0.35">
      <c r="A149" s="248">
        <v>2690</v>
      </c>
      <c r="B149" s="268" t="s">
        <v>322</v>
      </c>
      <c r="C149" s="106">
        <v>1115915</v>
      </c>
      <c r="D149" s="278"/>
      <c r="E149" s="106"/>
      <c r="F149" s="106">
        <f t="shared" si="6"/>
        <v>1115915</v>
      </c>
      <c r="G149" s="106">
        <f t="shared" si="7"/>
        <v>0</v>
      </c>
      <c r="H149" s="91"/>
      <c r="I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>
        <f>26503+101716</f>
        <v>128219</v>
      </c>
      <c r="X149" s="99">
        <v>103086</v>
      </c>
      <c r="Y149" s="99">
        <v>63227</v>
      </c>
      <c r="Z149" s="99"/>
      <c r="AA149" s="99">
        <v>179697</v>
      </c>
      <c r="AB149" s="99">
        <v>220643</v>
      </c>
      <c r="AC149" s="99">
        <v>106823</v>
      </c>
      <c r="AD149" s="99">
        <v>100844</v>
      </c>
      <c r="AE149" s="99">
        <v>96680</v>
      </c>
      <c r="AF149" s="99">
        <v>116696</v>
      </c>
      <c r="AG149" s="99"/>
      <c r="AH149" s="99"/>
      <c r="AI149" s="91"/>
    </row>
    <row r="150" spans="1:35" s="4" customFormat="1" ht="19.5" thickBot="1" x14ac:dyDescent="0.35">
      <c r="A150" s="248">
        <v>2700</v>
      </c>
      <c r="B150" s="268" t="s">
        <v>323</v>
      </c>
      <c r="C150" s="106">
        <v>189236</v>
      </c>
      <c r="D150" s="278"/>
      <c r="E150" s="106"/>
      <c r="F150" s="106">
        <f t="shared" si="6"/>
        <v>189236</v>
      </c>
      <c r="G150" s="106">
        <f t="shared" si="7"/>
        <v>0</v>
      </c>
      <c r="H150" s="91"/>
      <c r="I150" s="99"/>
      <c r="K150" s="99"/>
      <c r="L150" s="99"/>
      <c r="M150" s="99"/>
      <c r="N150" s="99"/>
      <c r="O150" s="99">
        <v>5148</v>
      </c>
      <c r="P150" s="99">
        <v>15129</v>
      </c>
      <c r="Q150" s="99">
        <v>15678</v>
      </c>
      <c r="R150" s="99">
        <v>16385</v>
      </c>
      <c r="S150" s="99">
        <v>28437</v>
      </c>
      <c r="T150" s="99">
        <v>30171</v>
      </c>
      <c r="U150" s="99">
        <v>23243</v>
      </c>
      <c r="V150" s="99"/>
      <c r="W150" s="99"/>
      <c r="X150" s="99">
        <v>42017</v>
      </c>
      <c r="Y150" s="99">
        <v>13028</v>
      </c>
      <c r="Z150" s="99"/>
      <c r="AA150" s="99"/>
      <c r="AB150" s="99"/>
      <c r="AC150" s="99"/>
      <c r="AD150" s="99"/>
      <c r="AE150" s="99"/>
      <c r="AF150" s="99"/>
      <c r="AG150" s="99"/>
      <c r="AH150" s="99"/>
      <c r="AI150" s="91"/>
    </row>
    <row r="151" spans="1:35" s="4" customFormat="1" ht="19.5" thickBot="1" x14ac:dyDescent="0.35">
      <c r="A151" s="248">
        <v>2710</v>
      </c>
      <c r="B151" s="268" t="s">
        <v>324</v>
      </c>
      <c r="C151" s="106">
        <v>25482</v>
      </c>
      <c r="D151" s="278"/>
      <c r="E151" s="106"/>
      <c r="F151" s="106">
        <f t="shared" si="6"/>
        <v>25482</v>
      </c>
      <c r="G151" s="106">
        <f t="shared" si="7"/>
        <v>0</v>
      </c>
      <c r="H151" s="91"/>
      <c r="I151" s="99"/>
      <c r="K151" s="99"/>
      <c r="L151" s="99">
        <v>6361</v>
      </c>
      <c r="M151" s="99"/>
      <c r="N151" s="99"/>
      <c r="O151" s="99"/>
      <c r="P151" s="99">
        <v>6380</v>
      </c>
      <c r="Q151" s="99">
        <v>6361</v>
      </c>
      <c r="R151" s="99"/>
      <c r="S151" s="99">
        <v>6380</v>
      </c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1"/>
    </row>
    <row r="152" spans="1:35" s="4" customFormat="1" ht="19.5" thickBot="1" x14ac:dyDescent="0.35">
      <c r="A152" s="248">
        <v>2720</v>
      </c>
      <c r="B152" s="268" t="s">
        <v>325</v>
      </c>
      <c r="C152" s="106">
        <v>12594</v>
      </c>
      <c r="D152" s="278"/>
      <c r="E152" s="106"/>
      <c r="F152" s="106">
        <f t="shared" si="6"/>
        <v>12594</v>
      </c>
      <c r="G152" s="106">
        <f t="shared" si="7"/>
        <v>0</v>
      </c>
      <c r="H152" s="91"/>
      <c r="I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>
        <v>12594</v>
      </c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1"/>
    </row>
    <row r="153" spans="1:35" s="4" customFormat="1" ht="19.5" thickBot="1" x14ac:dyDescent="0.35">
      <c r="A153" s="248">
        <v>2730</v>
      </c>
      <c r="B153" s="268" t="s">
        <v>326</v>
      </c>
      <c r="C153" s="106">
        <v>38937</v>
      </c>
      <c r="D153" s="278"/>
      <c r="E153" s="106"/>
      <c r="F153" s="106">
        <f t="shared" si="6"/>
        <v>38937</v>
      </c>
      <c r="G153" s="106">
        <f t="shared" si="7"/>
        <v>0</v>
      </c>
      <c r="H153" s="91"/>
      <c r="I153" s="99"/>
      <c r="K153" s="99"/>
      <c r="L153" s="99"/>
      <c r="M153" s="99">
        <v>6790</v>
      </c>
      <c r="N153" s="99"/>
      <c r="O153" s="99"/>
      <c r="P153" s="99">
        <v>18583</v>
      </c>
      <c r="Q153" s="99"/>
      <c r="R153" s="99"/>
      <c r="S153" s="99"/>
      <c r="T153" s="99"/>
      <c r="U153" s="99"/>
      <c r="V153" s="99">
        <v>11894</v>
      </c>
      <c r="W153" s="99"/>
      <c r="X153" s="99"/>
      <c r="Y153" s="99">
        <v>1670</v>
      </c>
      <c r="Z153" s="99"/>
      <c r="AA153" s="99"/>
      <c r="AB153" s="99"/>
      <c r="AC153" s="99"/>
      <c r="AD153" s="99"/>
      <c r="AE153" s="99"/>
      <c r="AF153" s="99"/>
      <c r="AG153" s="99"/>
      <c r="AH153" s="99"/>
      <c r="AI153" s="91"/>
    </row>
    <row r="154" spans="1:35" s="4" customFormat="1" ht="19.5" thickBot="1" x14ac:dyDescent="0.35">
      <c r="A154" s="248">
        <v>2740</v>
      </c>
      <c r="B154" s="268" t="s">
        <v>327</v>
      </c>
      <c r="C154" s="106">
        <v>93995</v>
      </c>
      <c r="D154" s="278"/>
      <c r="E154" s="106"/>
      <c r="F154" s="106">
        <f t="shared" si="6"/>
        <v>93995</v>
      </c>
      <c r="G154" s="106">
        <f t="shared" si="7"/>
        <v>0</v>
      </c>
      <c r="H154" s="91"/>
      <c r="I154" s="99"/>
      <c r="K154" s="99"/>
      <c r="L154" s="99">
        <v>407</v>
      </c>
      <c r="M154" s="99">
        <v>6665</v>
      </c>
      <c r="N154" s="99">
        <v>6094</v>
      </c>
      <c r="O154" s="99">
        <v>6046</v>
      </c>
      <c r="P154" s="99"/>
      <c r="Q154" s="99">
        <v>6585</v>
      </c>
      <c r="R154" s="99">
        <v>6046</v>
      </c>
      <c r="S154" s="99">
        <f>17143+6034</f>
        <v>23177</v>
      </c>
      <c r="T154" s="99"/>
      <c r="U154" s="99">
        <v>6036</v>
      </c>
      <c r="V154" s="99"/>
      <c r="W154" s="99"/>
      <c r="X154" s="99">
        <v>6566</v>
      </c>
      <c r="Y154" s="99">
        <f>3192+6720</f>
        <v>9912</v>
      </c>
      <c r="Z154" s="99">
        <v>5938</v>
      </c>
      <c r="AA154" s="99">
        <v>7146</v>
      </c>
      <c r="AB154" s="99">
        <v>3377</v>
      </c>
      <c r="AC154" s="99"/>
      <c r="AD154" s="99"/>
      <c r="AE154" s="99"/>
      <c r="AF154" s="99"/>
      <c r="AG154" s="99"/>
      <c r="AH154" s="99"/>
      <c r="AI154" s="91"/>
    </row>
    <row r="155" spans="1:35" s="4" customFormat="1" ht="19.5" thickBot="1" x14ac:dyDescent="0.35">
      <c r="A155" s="248">
        <v>2750</v>
      </c>
      <c r="B155" s="268" t="s">
        <v>328</v>
      </c>
      <c r="C155" s="106">
        <v>14340</v>
      </c>
      <c r="D155" s="278"/>
      <c r="E155" s="106"/>
      <c r="F155" s="106">
        <f t="shared" si="6"/>
        <v>14340</v>
      </c>
      <c r="G155" s="106">
        <f t="shared" si="7"/>
        <v>0</v>
      </c>
      <c r="H155" s="91"/>
      <c r="I155" s="99"/>
      <c r="K155" s="99"/>
      <c r="L155" s="99"/>
      <c r="M155" s="99"/>
      <c r="N155" s="99">
        <v>4226</v>
      </c>
      <c r="O155" s="99"/>
      <c r="P155" s="99"/>
      <c r="Q155" s="99"/>
      <c r="R155" s="99"/>
      <c r="S155" s="99"/>
      <c r="T155" s="99"/>
      <c r="U155" s="99">
        <v>9920</v>
      </c>
      <c r="V155" s="99"/>
      <c r="W155" s="99"/>
      <c r="X155" s="99"/>
      <c r="Y155" s="99"/>
      <c r="Z155" s="99"/>
      <c r="AA155" s="99"/>
      <c r="AB155" s="99"/>
      <c r="AC155" s="99"/>
      <c r="AD155" s="99"/>
      <c r="AE155" s="99">
        <v>194</v>
      </c>
      <c r="AF155" s="99"/>
      <c r="AG155" s="99"/>
      <c r="AH155" s="99"/>
      <c r="AI155" s="91"/>
    </row>
    <row r="156" spans="1:35" s="4" customFormat="1" ht="19.5" thickBot="1" x14ac:dyDescent="0.35">
      <c r="A156" s="248">
        <v>2760</v>
      </c>
      <c r="B156" s="268" t="s">
        <v>329</v>
      </c>
      <c r="C156" s="106">
        <v>10641</v>
      </c>
      <c r="D156" s="278" t="s">
        <v>378</v>
      </c>
      <c r="E156" s="106">
        <f t="shared" si="8"/>
        <v>10641</v>
      </c>
      <c r="F156" s="106">
        <f t="shared" si="6"/>
        <v>0</v>
      </c>
      <c r="G156" s="106">
        <f t="shared" si="7"/>
        <v>0</v>
      </c>
      <c r="H156" s="91"/>
      <c r="I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1"/>
    </row>
    <row r="157" spans="1:35" s="4" customFormat="1" ht="19.5" thickBot="1" x14ac:dyDescent="0.35">
      <c r="A157" s="248">
        <v>2770</v>
      </c>
      <c r="B157" s="268" t="s">
        <v>330</v>
      </c>
      <c r="C157" s="106">
        <v>49619</v>
      </c>
      <c r="D157" s="278"/>
      <c r="E157" s="106"/>
      <c r="F157" s="106">
        <f t="shared" si="6"/>
        <v>49619</v>
      </c>
      <c r="G157" s="106">
        <f t="shared" si="7"/>
        <v>0</v>
      </c>
      <c r="H157" s="91"/>
      <c r="I157" s="99"/>
      <c r="K157" s="99"/>
      <c r="L157" s="99"/>
      <c r="M157" s="99"/>
      <c r="N157" s="99">
        <v>8898</v>
      </c>
      <c r="O157" s="99"/>
      <c r="P157" s="99"/>
      <c r="Q157" s="99"/>
      <c r="R157" s="99"/>
      <c r="S157" s="99">
        <v>40345</v>
      </c>
      <c r="T157" s="99"/>
      <c r="U157" s="99"/>
      <c r="V157" s="99"/>
      <c r="W157" s="99"/>
      <c r="X157" s="99"/>
      <c r="Y157" s="99"/>
      <c r="Z157" s="99"/>
      <c r="AA157" s="99">
        <v>376</v>
      </c>
      <c r="AB157" s="99"/>
      <c r="AC157" s="99"/>
      <c r="AD157" s="99"/>
      <c r="AE157" s="99"/>
      <c r="AF157" s="99"/>
      <c r="AG157" s="99"/>
      <c r="AH157" s="99"/>
      <c r="AI157" s="91"/>
    </row>
    <row r="158" spans="1:35" s="4" customFormat="1" ht="19.5" thickBot="1" x14ac:dyDescent="0.35">
      <c r="A158" s="248">
        <v>2780</v>
      </c>
      <c r="B158" s="268" t="s">
        <v>331</v>
      </c>
      <c r="C158" s="106">
        <v>10811</v>
      </c>
      <c r="D158" s="278" t="s">
        <v>378</v>
      </c>
      <c r="E158" s="106">
        <f t="shared" si="8"/>
        <v>10811</v>
      </c>
      <c r="F158" s="106">
        <f t="shared" si="6"/>
        <v>0</v>
      </c>
      <c r="G158" s="106">
        <f t="shared" si="7"/>
        <v>0</v>
      </c>
      <c r="H158" s="91"/>
      <c r="I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1"/>
    </row>
    <row r="159" spans="1:35" s="4" customFormat="1" ht="19.5" thickBot="1" x14ac:dyDescent="0.35">
      <c r="A159" s="248">
        <v>2790</v>
      </c>
      <c r="B159" s="268" t="s">
        <v>332</v>
      </c>
      <c r="C159" s="106">
        <v>19363</v>
      </c>
      <c r="D159" s="278"/>
      <c r="E159" s="106"/>
      <c r="F159" s="106">
        <f t="shared" si="6"/>
        <v>19363</v>
      </c>
      <c r="G159" s="106">
        <f t="shared" si="7"/>
        <v>0</v>
      </c>
      <c r="H159" s="91"/>
      <c r="I159" s="99"/>
      <c r="K159" s="99"/>
      <c r="L159" s="99"/>
      <c r="M159" s="99"/>
      <c r="N159" s="99"/>
      <c r="O159" s="99"/>
      <c r="P159" s="99">
        <v>13142</v>
      </c>
      <c r="Q159" s="99"/>
      <c r="R159" s="99">
        <v>3399</v>
      </c>
      <c r="S159" s="99">
        <v>2822</v>
      </c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1"/>
    </row>
    <row r="160" spans="1:35" s="4" customFormat="1" ht="19.5" thickBot="1" x14ac:dyDescent="0.35">
      <c r="A160" s="248">
        <v>2800</v>
      </c>
      <c r="B160" s="268" t="s">
        <v>333</v>
      </c>
      <c r="C160" s="106">
        <v>10249</v>
      </c>
      <c r="D160" s="278"/>
      <c r="E160" s="106"/>
      <c r="F160" s="106">
        <f t="shared" si="6"/>
        <v>10249</v>
      </c>
      <c r="G160" s="106">
        <f t="shared" si="7"/>
        <v>0</v>
      </c>
      <c r="H160" s="91"/>
      <c r="I160" s="99"/>
      <c r="K160" s="99"/>
      <c r="L160" s="99"/>
      <c r="M160" s="99"/>
      <c r="N160" s="99"/>
      <c r="O160" s="99"/>
      <c r="P160" s="99"/>
      <c r="Q160" s="99"/>
      <c r="R160" s="99"/>
      <c r="S160" s="99">
        <v>1512</v>
      </c>
      <c r="T160" s="99"/>
      <c r="U160" s="99"/>
      <c r="V160" s="99"/>
      <c r="W160" s="99"/>
      <c r="X160" s="99"/>
      <c r="Y160" s="99"/>
      <c r="Z160" s="99"/>
      <c r="AA160" s="99">
        <v>5440</v>
      </c>
      <c r="AB160" s="99"/>
      <c r="AC160" s="99"/>
      <c r="AD160" s="99"/>
      <c r="AE160" s="99">
        <v>3297</v>
      </c>
      <c r="AF160" s="99"/>
      <c r="AG160" s="99"/>
      <c r="AH160" s="99"/>
      <c r="AI160" s="91"/>
    </row>
    <row r="161" spans="1:35" s="4" customFormat="1" ht="19.5" thickBot="1" x14ac:dyDescent="0.35">
      <c r="A161" s="248">
        <v>2810</v>
      </c>
      <c r="B161" s="268" t="s">
        <v>334</v>
      </c>
      <c r="C161" s="106">
        <v>60523</v>
      </c>
      <c r="D161" s="278"/>
      <c r="E161" s="106"/>
      <c r="F161" s="106">
        <f t="shared" si="6"/>
        <v>60523</v>
      </c>
      <c r="G161" s="106">
        <f t="shared" si="7"/>
        <v>0</v>
      </c>
      <c r="H161" s="91"/>
      <c r="I161" s="99"/>
      <c r="K161" s="99">
        <v>13508</v>
      </c>
      <c r="L161" s="99"/>
      <c r="M161" s="99">
        <v>27015</v>
      </c>
      <c r="N161" s="99"/>
      <c r="O161" s="99"/>
      <c r="P161" s="99"/>
      <c r="Q161" s="99">
        <v>14450</v>
      </c>
      <c r="R161" s="99"/>
      <c r="S161" s="99">
        <v>5550</v>
      </c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1"/>
    </row>
    <row r="162" spans="1:35" s="4" customFormat="1" ht="19.5" thickBot="1" x14ac:dyDescent="0.35">
      <c r="A162" s="248">
        <v>2820</v>
      </c>
      <c r="B162" s="268" t="s">
        <v>335</v>
      </c>
      <c r="C162" s="106">
        <v>6224</v>
      </c>
      <c r="D162" s="278"/>
      <c r="E162" s="106"/>
      <c r="F162" s="106">
        <f t="shared" si="6"/>
        <v>6224</v>
      </c>
      <c r="G162" s="106">
        <f t="shared" si="7"/>
        <v>0</v>
      </c>
      <c r="H162" s="91"/>
      <c r="I162" s="99"/>
      <c r="K162" s="99"/>
      <c r="L162" s="99"/>
      <c r="M162" s="99"/>
      <c r="N162" s="99">
        <v>6224</v>
      </c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1"/>
    </row>
    <row r="163" spans="1:35" s="4" customFormat="1" ht="19.5" thickBot="1" x14ac:dyDescent="0.35">
      <c r="A163" s="248">
        <v>2830</v>
      </c>
      <c r="B163" s="268" t="s">
        <v>336</v>
      </c>
      <c r="C163" s="106">
        <v>18556</v>
      </c>
      <c r="D163" s="278"/>
      <c r="E163" s="106"/>
      <c r="F163" s="106">
        <f t="shared" si="6"/>
        <v>18556</v>
      </c>
      <c r="G163" s="106">
        <f t="shared" si="7"/>
        <v>0</v>
      </c>
      <c r="H163" s="91"/>
      <c r="I163" s="99"/>
      <c r="K163" s="99"/>
      <c r="L163" s="99"/>
      <c r="M163" s="99"/>
      <c r="N163" s="99"/>
      <c r="O163" s="99"/>
      <c r="P163" s="99"/>
      <c r="Q163" s="99"/>
      <c r="R163" s="99"/>
      <c r="S163" s="99">
        <v>18556</v>
      </c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1"/>
    </row>
    <row r="164" spans="1:35" s="4" customFormat="1" ht="19.5" thickBot="1" x14ac:dyDescent="0.35">
      <c r="A164" s="248">
        <v>2840</v>
      </c>
      <c r="B164" s="268" t="s">
        <v>337</v>
      </c>
      <c r="C164" s="106">
        <v>9787</v>
      </c>
      <c r="D164" s="278"/>
      <c r="E164" s="106"/>
      <c r="F164" s="106">
        <f t="shared" si="6"/>
        <v>9787</v>
      </c>
      <c r="G164" s="106">
        <f t="shared" si="7"/>
        <v>0</v>
      </c>
      <c r="H164" s="91"/>
      <c r="I164" s="99"/>
      <c r="K164" s="99">
        <v>646</v>
      </c>
      <c r="L164" s="99"/>
      <c r="M164" s="99"/>
      <c r="N164" s="99"/>
      <c r="O164" s="99"/>
      <c r="P164" s="99"/>
      <c r="Q164" s="99"/>
      <c r="R164" s="99"/>
      <c r="S164" s="99">
        <v>6500</v>
      </c>
      <c r="T164" s="99"/>
      <c r="U164" s="99"/>
      <c r="V164" s="99">
        <v>1025</v>
      </c>
      <c r="W164" s="99"/>
      <c r="X164" s="99"/>
      <c r="Y164" s="99"/>
      <c r="Z164" s="99"/>
      <c r="AA164" s="99">
        <v>256</v>
      </c>
      <c r="AB164" s="99">
        <v>292</v>
      </c>
      <c r="AC164" s="99"/>
      <c r="AD164" s="99">
        <v>1068</v>
      </c>
      <c r="AE164" s="99"/>
      <c r="AF164" s="99"/>
      <c r="AG164" s="99"/>
      <c r="AH164" s="99"/>
      <c r="AI164" s="91"/>
    </row>
    <row r="165" spans="1:35" s="4" customFormat="1" ht="19.5" thickBot="1" x14ac:dyDescent="0.35">
      <c r="A165" s="248">
        <v>2862</v>
      </c>
      <c r="B165" s="268" t="s">
        <v>338</v>
      </c>
      <c r="C165" s="106">
        <v>10778</v>
      </c>
      <c r="D165" s="278" t="s">
        <v>377</v>
      </c>
      <c r="E165" s="106">
        <f t="shared" si="8"/>
        <v>10778</v>
      </c>
      <c r="F165" s="106">
        <f t="shared" si="6"/>
        <v>0</v>
      </c>
      <c r="G165" s="106">
        <f t="shared" si="7"/>
        <v>0</v>
      </c>
      <c r="H165" s="91"/>
      <c r="I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1"/>
    </row>
    <row r="166" spans="1:35" s="4" customFormat="1" ht="19.5" thickBot="1" x14ac:dyDescent="0.35">
      <c r="A166" s="248">
        <v>2865</v>
      </c>
      <c r="B166" s="268" t="s">
        <v>339</v>
      </c>
      <c r="C166" s="106">
        <v>7990</v>
      </c>
      <c r="D166" s="278" t="s">
        <v>377</v>
      </c>
      <c r="E166" s="106">
        <f t="shared" si="8"/>
        <v>7990</v>
      </c>
      <c r="F166" s="106">
        <f t="shared" si="6"/>
        <v>0</v>
      </c>
      <c r="G166" s="106">
        <f t="shared" si="7"/>
        <v>0</v>
      </c>
      <c r="H166" s="91"/>
      <c r="I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1"/>
    </row>
    <row r="167" spans="1:35" s="4" customFormat="1" ht="19.5" thickBot="1" x14ac:dyDescent="0.35">
      <c r="A167" s="248">
        <v>3000</v>
      </c>
      <c r="B167" s="268" t="s">
        <v>340</v>
      </c>
      <c r="C167" s="106">
        <v>56167</v>
      </c>
      <c r="D167" s="278"/>
      <c r="E167" s="106"/>
      <c r="F167" s="106">
        <f t="shared" si="6"/>
        <v>56167</v>
      </c>
      <c r="G167" s="106">
        <f t="shared" si="7"/>
        <v>0</v>
      </c>
      <c r="H167" s="91"/>
      <c r="I167" s="99"/>
      <c r="K167" s="99"/>
      <c r="L167" s="99"/>
      <c r="M167" s="99">
        <v>14351</v>
      </c>
      <c r="N167" s="99">
        <v>4630</v>
      </c>
      <c r="O167" s="99">
        <v>4660</v>
      </c>
      <c r="P167" s="99">
        <v>4661</v>
      </c>
      <c r="Q167" s="99">
        <v>4465</v>
      </c>
      <c r="R167" s="99">
        <v>4673</v>
      </c>
      <c r="S167" s="99">
        <v>18727</v>
      </c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1"/>
    </row>
    <row r="168" spans="1:35" s="4" customFormat="1" ht="19.5" thickBot="1" x14ac:dyDescent="0.35">
      <c r="A168" s="248">
        <v>3010</v>
      </c>
      <c r="B168" s="268" t="s">
        <v>341</v>
      </c>
      <c r="C168" s="106">
        <v>16337</v>
      </c>
      <c r="D168" s="278"/>
      <c r="E168" s="106"/>
      <c r="F168" s="106">
        <f t="shared" si="6"/>
        <v>16337</v>
      </c>
      <c r="G168" s="106">
        <f t="shared" si="7"/>
        <v>0</v>
      </c>
      <c r="H168" s="91"/>
      <c r="I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>
        <v>16316</v>
      </c>
      <c r="V168" s="99"/>
      <c r="W168" s="99"/>
      <c r="X168" s="99">
        <v>21</v>
      </c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1"/>
    </row>
    <row r="169" spans="1:35" s="4" customFormat="1" ht="19.5" thickBot="1" x14ac:dyDescent="0.35">
      <c r="A169" s="248">
        <v>3020</v>
      </c>
      <c r="B169" s="268" t="s">
        <v>342</v>
      </c>
      <c r="C169" s="106">
        <v>100751</v>
      </c>
      <c r="D169" s="278"/>
      <c r="E169" s="106"/>
      <c r="F169" s="106">
        <f t="shared" si="6"/>
        <v>100751</v>
      </c>
      <c r="G169" s="106">
        <f t="shared" si="7"/>
        <v>0</v>
      </c>
      <c r="H169" s="91"/>
      <c r="I169" s="99"/>
      <c r="K169" s="99"/>
      <c r="L169" s="99"/>
      <c r="M169" s="99"/>
      <c r="N169" s="99"/>
      <c r="O169" s="99">
        <v>52512</v>
      </c>
      <c r="P169" s="99"/>
      <c r="Q169" s="99"/>
      <c r="R169" s="99"/>
      <c r="S169" s="99">
        <v>34713</v>
      </c>
      <c r="T169" s="99"/>
      <c r="U169" s="99"/>
      <c r="V169" s="99"/>
      <c r="W169" s="99"/>
      <c r="X169" s="99">
        <v>13526</v>
      </c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1"/>
    </row>
    <row r="170" spans="1:35" s="4" customFormat="1" ht="19.5" thickBot="1" x14ac:dyDescent="0.35">
      <c r="A170" s="248">
        <v>3030</v>
      </c>
      <c r="B170" s="268" t="s">
        <v>343</v>
      </c>
      <c r="C170" s="106">
        <v>18071</v>
      </c>
      <c r="D170" s="278"/>
      <c r="E170" s="106"/>
      <c r="F170" s="106">
        <f t="shared" si="6"/>
        <v>18071</v>
      </c>
      <c r="G170" s="106">
        <f t="shared" si="7"/>
        <v>0</v>
      </c>
      <c r="H170" s="91"/>
      <c r="I170" s="99"/>
      <c r="K170" s="99"/>
      <c r="L170" s="99"/>
      <c r="M170" s="99"/>
      <c r="N170" s="99"/>
      <c r="O170" s="99">
        <v>8492</v>
      </c>
      <c r="P170" s="99"/>
      <c r="Q170" s="99"/>
      <c r="R170" s="99"/>
      <c r="S170" s="99">
        <v>6976</v>
      </c>
      <c r="T170" s="99"/>
      <c r="U170" s="99"/>
      <c r="V170" s="99"/>
      <c r="W170" s="99"/>
      <c r="X170" s="99"/>
      <c r="Y170" s="99"/>
      <c r="Z170" s="99"/>
      <c r="AA170" s="99"/>
      <c r="AB170" s="99">
        <v>2603</v>
      </c>
      <c r="AC170" s="99"/>
      <c r="AD170" s="99"/>
      <c r="AE170" s="99"/>
      <c r="AF170" s="99"/>
      <c r="AG170" s="99"/>
      <c r="AH170" s="99"/>
      <c r="AI170" s="91"/>
    </row>
    <row r="171" spans="1:35" s="4" customFormat="1" ht="19.5" thickBot="1" x14ac:dyDescent="0.35">
      <c r="A171" s="248">
        <v>3040</v>
      </c>
      <c r="B171" s="268" t="s">
        <v>344</v>
      </c>
      <c r="C171" s="106">
        <v>3873</v>
      </c>
      <c r="D171" s="278" t="s">
        <v>375</v>
      </c>
      <c r="E171" s="106">
        <f t="shared" si="8"/>
        <v>3873</v>
      </c>
      <c r="F171" s="106">
        <f t="shared" si="6"/>
        <v>0</v>
      </c>
      <c r="G171" s="106">
        <f t="shared" si="7"/>
        <v>0</v>
      </c>
      <c r="H171" s="91"/>
      <c r="I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1"/>
    </row>
    <row r="172" spans="1:35" s="4" customFormat="1" ht="19.5" thickBot="1" x14ac:dyDescent="0.35">
      <c r="A172" s="248">
        <v>3050</v>
      </c>
      <c r="B172" s="268" t="s">
        <v>345</v>
      </c>
      <c r="C172" s="106">
        <v>4772</v>
      </c>
      <c r="D172" s="278" t="s">
        <v>377</v>
      </c>
      <c r="E172" s="106">
        <f t="shared" si="8"/>
        <v>4772</v>
      </c>
      <c r="F172" s="106">
        <f t="shared" si="6"/>
        <v>0</v>
      </c>
      <c r="G172" s="106">
        <f t="shared" si="7"/>
        <v>0</v>
      </c>
      <c r="H172" s="91"/>
      <c r="I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1"/>
    </row>
    <row r="173" spans="1:35" s="4" customFormat="1" ht="19.5" thickBot="1" x14ac:dyDescent="0.35">
      <c r="A173" s="248">
        <v>3060</v>
      </c>
      <c r="B173" s="268" t="s">
        <v>346</v>
      </c>
      <c r="C173" s="106">
        <v>2389</v>
      </c>
      <c r="D173" s="278" t="s">
        <v>377</v>
      </c>
      <c r="E173" s="106">
        <f t="shared" si="8"/>
        <v>2389</v>
      </c>
      <c r="F173" s="106">
        <f t="shared" si="6"/>
        <v>0</v>
      </c>
      <c r="G173" s="106">
        <f t="shared" si="7"/>
        <v>0</v>
      </c>
      <c r="H173" s="91"/>
      <c r="I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1"/>
    </row>
    <row r="174" spans="1:35" s="4" customFormat="1" ht="19.5" thickBot="1" x14ac:dyDescent="0.35">
      <c r="A174" s="248">
        <v>3070</v>
      </c>
      <c r="B174" s="268" t="s">
        <v>347</v>
      </c>
      <c r="C174" s="106">
        <v>3897</v>
      </c>
      <c r="D174" s="278" t="s">
        <v>375</v>
      </c>
      <c r="E174" s="106">
        <f t="shared" si="8"/>
        <v>3897</v>
      </c>
      <c r="F174" s="106">
        <f t="shared" si="6"/>
        <v>0</v>
      </c>
      <c r="G174" s="106">
        <f t="shared" si="7"/>
        <v>0</v>
      </c>
      <c r="H174" s="91"/>
      <c r="I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1"/>
    </row>
    <row r="175" spans="1:35" s="4" customFormat="1" ht="19.5" thickBot="1" x14ac:dyDescent="0.35">
      <c r="A175" s="248">
        <v>3080</v>
      </c>
      <c r="B175" s="268" t="s">
        <v>348</v>
      </c>
      <c r="C175" s="106">
        <v>60113</v>
      </c>
      <c r="D175" s="278" t="s">
        <v>376</v>
      </c>
      <c r="E175" s="106">
        <f t="shared" si="8"/>
        <v>60113</v>
      </c>
      <c r="F175" s="106">
        <f t="shared" si="6"/>
        <v>0</v>
      </c>
      <c r="G175" s="106">
        <f t="shared" si="7"/>
        <v>0</v>
      </c>
      <c r="H175" s="91"/>
      <c r="I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1"/>
    </row>
    <row r="176" spans="1:35" s="4" customFormat="1" ht="19.5" thickBot="1" x14ac:dyDescent="0.35">
      <c r="A176" s="248">
        <v>3085</v>
      </c>
      <c r="B176" s="268" t="s">
        <v>349</v>
      </c>
      <c r="C176" s="106">
        <v>35599</v>
      </c>
      <c r="D176" s="278"/>
      <c r="E176" s="106"/>
      <c r="F176" s="106">
        <f t="shared" si="6"/>
        <v>35599</v>
      </c>
      <c r="G176" s="106">
        <f t="shared" si="7"/>
        <v>0</v>
      </c>
      <c r="H176" s="91"/>
      <c r="I176" s="99"/>
      <c r="K176" s="99"/>
      <c r="L176" s="99"/>
      <c r="M176" s="99"/>
      <c r="N176" s="99"/>
      <c r="O176" s="99"/>
      <c r="P176" s="99"/>
      <c r="Q176" s="99"/>
      <c r="R176" s="99"/>
      <c r="S176" s="99">
        <v>29840</v>
      </c>
      <c r="T176" s="99"/>
      <c r="U176" s="99"/>
      <c r="V176" s="99">
        <v>5759</v>
      </c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1"/>
    </row>
    <row r="177" spans="1:35" s="4" customFormat="1" ht="19.5" thickBot="1" x14ac:dyDescent="0.35">
      <c r="A177" s="248">
        <v>3090</v>
      </c>
      <c r="B177" s="268" t="s">
        <v>350</v>
      </c>
      <c r="C177" s="106">
        <v>52093</v>
      </c>
      <c r="D177" s="278"/>
      <c r="E177" s="106"/>
      <c r="F177" s="106">
        <f t="shared" si="6"/>
        <v>52093</v>
      </c>
      <c r="G177" s="106">
        <f t="shared" si="7"/>
        <v>0</v>
      </c>
      <c r="H177" s="91"/>
      <c r="I177" s="99"/>
      <c r="K177" s="99"/>
      <c r="L177" s="99"/>
      <c r="M177" s="99"/>
      <c r="N177" s="99"/>
      <c r="O177" s="99">
        <v>25050</v>
      </c>
      <c r="P177" s="99"/>
      <c r="Q177" s="99"/>
      <c r="R177" s="99"/>
      <c r="S177" s="99"/>
      <c r="T177" s="99"/>
      <c r="U177" s="99"/>
      <c r="V177" s="99"/>
      <c r="W177" s="99"/>
      <c r="X177" s="99">
        <v>27043</v>
      </c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1"/>
    </row>
    <row r="178" spans="1:35" s="4" customFormat="1" ht="19.5" thickBot="1" x14ac:dyDescent="0.35">
      <c r="A178" s="248">
        <v>3100</v>
      </c>
      <c r="B178" s="268" t="s">
        <v>351</v>
      </c>
      <c r="C178" s="106">
        <v>53610</v>
      </c>
      <c r="D178" s="278"/>
      <c r="E178" s="106"/>
      <c r="F178" s="106">
        <f t="shared" si="6"/>
        <v>53610</v>
      </c>
      <c r="G178" s="106">
        <f t="shared" si="7"/>
        <v>0</v>
      </c>
      <c r="H178" s="91"/>
      <c r="I178" s="99"/>
      <c r="K178" s="99"/>
      <c r="L178" s="99"/>
      <c r="M178" s="99"/>
      <c r="N178" s="99">
        <v>5409</v>
      </c>
      <c r="O178" s="99">
        <v>4480</v>
      </c>
      <c r="P178" s="99">
        <v>4480</v>
      </c>
      <c r="Q178" s="99"/>
      <c r="R178" s="99">
        <v>8960</v>
      </c>
      <c r="S178" s="99">
        <v>4481</v>
      </c>
      <c r="T178" s="99">
        <v>4498</v>
      </c>
      <c r="U178" s="99">
        <v>4498</v>
      </c>
      <c r="V178" s="99">
        <v>4498</v>
      </c>
      <c r="W178" s="99"/>
      <c r="X178" s="99">
        <v>4720</v>
      </c>
      <c r="Y178" s="99">
        <v>4719</v>
      </c>
      <c r="Z178" s="99"/>
      <c r="AA178" s="99">
        <v>2867</v>
      </c>
      <c r="AB178" s="99"/>
      <c r="AC178" s="99"/>
      <c r="AD178" s="99"/>
      <c r="AE178" s="99"/>
      <c r="AF178" s="99"/>
      <c r="AG178" s="99"/>
      <c r="AH178" s="99"/>
      <c r="AI178" s="91"/>
    </row>
    <row r="179" spans="1:35" s="4" customFormat="1" ht="19.5" thickBot="1" x14ac:dyDescent="0.35">
      <c r="A179" s="248">
        <v>3110</v>
      </c>
      <c r="B179" s="268" t="s">
        <v>352</v>
      </c>
      <c r="C179" s="106">
        <v>52917</v>
      </c>
      <c r="D179" s="278"/>
      <c r="E179" s="106"/>
      <c r="F179" s="106">
        <f t="shared" si="6"/>
        <v>52917</v>
      </c>
      <c r="G179" s="106">
        <f t="shared" si="7"/>
        <v>0</v>
      </c>
      <c r="H179" s="91"/>
      <c r="I179" s="99"/>
      <c r="K179" s="99"/>
      <c r="L179" s="99"/>
      <c r="M179" s="99"/>
      <c r="N179" s="99"/>
      <c r="O179" s="99"/>
      <c r="P179" s="99"/>
      <c r="Q179" s="99"/>
      <c r="R179" s="99"/>
      <c r="S179" s="99">
        <v>52917</v>
      </c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1"/>
    </row>
    <row r="180" spans="1:35" s="4" customFormat="1" ht="19.5" thickBot="1" x14ac:dyDescent="0.35">
      <c r="A180" s="248">
        <v>3120</v>
      </c>
      <c r="B180" s="268" t="s">
        <v>353</v>
      </c>
      <c r="C180" s="106">
        <v>670021</v>
      </c>
      <c r="D180" s="278"/>
      <c r="E180" s="106"/>
      <c r="F180" s="106">
        <f t="shared" si="6"/>
        <v>670021</v>
      </c>
      <c r="G180" s="106">
        <f t="shared" si="7"/>
        <v>0</v>
      </c>
      <c r="H180" s="91"/>
      <c r="I180" s="99"/>
      <c r="K180" s="99"/>
      <c r="L180" s="99">
        <v>63441</v>
      </c>
      <c r="M180" s="99">
        <v>40670</v>
      </c>
      <c r="N180" s="99">
        <v>47093</v>
      </c>
      <c r="O180" s="99">
        <v>41352</v>
      </c>
      <c r="P180" s="99">
        <v>65992</v>
      </c>
      <c r="Q180" s="99">
        <v>51922</v>
      </c>
      <c r="R180" s="99">
        <v>44101</v>
      </c>
      <c r="S180" s="99">
        <f>60931+96169</f>
        <v>157100</v>
      </c>
      <c r="T180" s="99"/>
      <c r="U180" s="99"/>
      <c r="V180" s="99">
        <v>94197</v>
      </c>
      <c r="W180" s="99"/>
      <c r="X180" s="99"/>
      <c r="Y180" s="99">
        <v>64153</v>
      </c>
      <c r="Z180" s="99"/>
      <c r="AA180" s="99"/>
      <c r="AB180" s="99"/>
      <c r="AC180" s="99"/>
      <c r="AD180" s="99"/>
      <c r="AE180" s="99"/>
      <c r="AF180" s="99"/>
      <c r="AG180" s="99"/>
      <c r="AH180" s="99"/>
      <c r="AI180" s="91"/>
    </row>
    <row r="181" spans="1:35" s="4" customFormat="1" ht="19.5" thickBot="1" x14ac:dyDescent="0.35">
      <c r="A181" s="248">
        <v>3130</v>
      </c>
      <c r="B181" s="268" t="s">
        <v>354</v>
      </c>
      <c r="C181" s="106">
        <v>20689</v>
      </c>
      <c r="D181" s="278" t="s">
        <v>376</v>
      </c>
      <c r="E181" s="106">
        <f t="shared" si="8"/>
        <v>20689</v>
      </c>
      <c r="F181" s="106">
        <f t="shared" si="6"/>
        <v>0</v>
      </c>
      <c r="G181" s="106">
        <f t="shared" si="7"/>
        <v>0</v>
      </c>
      <c r="H181" s="91"/>
      <c r="I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1"/>
    </row>
    <row r="182" spans="1:35" s="4" customFormat="1" ht="19.5" thickBot="1" x14ac:dyDescent="0.35">
      <c r="A182" s="248">
        <v>3140</v>
      </c>
      <c r="B182" s="268" t="s">
        <v>355</v>
      </c>
      <c r="C182" s="106">
        <v>101496</v>
      </c>
      <c r="D182" s="278"/>
      <c r="E182" s="106"/>
      <c r="F182" s="106">
        <f t="shared" si="6"/>
        <v>101496</v>
      </c>
      <c r="G182" s="106">
        <f t="shared" si="7"/>
        <v>0</v>
      </c>
      <c r="H182" s="91"/>
      <c r="I182" s="99"/>
      <c r="K182" s="99"/>
      <c r="L182" s="99"/>
      <c r="M182" s="99"/>
      <c r="N182" s="99">
        <v>8576</v>
      </c>
      <c r="O182" s="99"/>
      <c r="P182" s="99"/>
      <c r="Q182" s="99"/>
      <c r="R182" s="99">
        <v>33876</v>
      </c>
      <c r="S182" s="99">
        <v>26859</v>
      </c>
      <c r="T182" s="99"/>
      <c r="U182" s="99"/>
      <c r="V182" s="99"/>
      <c r="W182" s="99"/>
      <c r="X182" s="99">
        <v>25999</v>
      </c>
      <c r="Y182" s="99"/>
      <c r="Z182" s="99">
        <v>6186</v>
      </c>
      <c r="AA182" s="99"/>
      <c r="AB182" s="99"/>
      <c r="AC182" s="99"/>
      <c r="AD182" s="99"/>
      <c r="AE182" s="99"/>
      <c r="AF182" s="99"/>
      <c r="AG182" s="99"/>
      <c r="AH182" s="99"/>
      <c r="AI182" s="91"/>
    </row>
    <row r="183" spans="1:35" s="4" customFormat="1" ht="19.5" thickBot="1" x14ac:dyDescent="0.35">
      <c r="A183" s="248">
        <v>3145</v>
      </c>
      <c r="B183" s="268" t="s">
        <v>356</v>
      </c>
      <c r="C183" s="106">
        <v>44267</v>
      </c>
      <c r="D183" s="278"/>
      <c r="E183" s="106"/>
      <c r="F183" s="106">
        <f t="shared" si="6"/>
        <v>44267</v>
      </c>
      <c r="G183" s="106">
        <f t="shared" si="7"/>
        <v>0</v>
      </c>
      <c r="H183" s="91"/>
      <c r="I183" s="99"/>
      <c r="K183" s="99"/>
      <c r="L183" s="99"/>
      <c r="M183" s="99">
        <v>8826</v>
      </c>
      <c r="N183" s="99">
        <v>3636</v>
      </c>
      <c r="O183" s="99"/>
      <c r="P183" s="99">
        <v>8125</v>
      </c>
      <c r="Q183" s="99">
        <v>2905</v>
      </c>
      <c r="R183" s="99">
        <v>9278</v>
      </c>
      <c r="S183" s="99">
        <v>4826</v>
      </c>
      <c r="T183" s="99">
        <v>2792</v>
      </c>
      <c r="U183" s="99"/>
      <c r="V183" s="99"/>
      <c r="W183" s="99"/>
      <c r="X183" s="99">
        <v>3879</v>
      </c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1"/>
    </row>
    <row r="184" spans="1:35" s="4" customFormat="1" ht="19.5" thickBot="1" x14ac:dyDescent="0.35">
      <c r="A184" s="248">
        <v>3146</v>
      </c>
      <c r="B184" s="268" t="s">
        <v>357</v>
      </c>
      <c r="C184" s="106">
        <v>3790</v>
      </c>
      <c r="D184" s="278" t="s">
        <v>376</v>
      </c>
      <c r="E184" s="106">
        <f t="shared" si="8"/>
        <v>3790</v>
      </c>
      <c r="F184" s="106">
        <f t="shared" si="6"/>
        <v>0</v>
      </c>
      <c r="G184" s="106">
        <f t="shared" si="7"/>
        <v>0</v>
      </c>
      <c r="H184" s="91"/>
      <c r="I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1"/>
    </row>
    <row r="185" spans="1:35" s="4" customFormat="1" ht="19.5" thickBot="1" x14ac:dyDescent="0.35">
      <c r="A185" s="248">
        <v>3147</v>
      </c>
      <c r="B185" s="268" t="s">
        <v>358</v>
      </c>
      <c r="C185" s="106">
        <v>5632</v>
      </c>
      <c r="D185" s="278" t="s">
        <v>376</v>
      </c>
      <c r="E185" s="106">
        <f t="shared" si="8"/>
        <v>5632</v>
      </c>
      <c r="F185" s="106">
        <f t="shared" si="6"/>
        <v>0</v>
      </c>
      <c r="G185" s="106">
        <f t="shared" si="7"/>
        <v>0</v>
      </c>
      <c r="H185" s="91"/>
      <c r="I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1"/>
    </row>
    <row r="186" spans="1:35" s="4" customFormat="1" ht="19.5" thickBot="1" x14ac:dyDescent="0.35">
      <c r="A186" s="248">
        <v>3148</v>
      </c>
      <c r="B186" s="268" t="s">
        <v>359</v>
      </c>
      <c r="C186" s="106">
        <v>4901</v>
      </c>
      <c r="D186" s="278" t="s">
        <v>376</v>
      </c>
      <c r="E186" s="106">
        <f t="shared" si="8"/>
        <v>4901</v>
      </c>
      <c r="F186" s="106">
        <f t="shared" si="6"/>
        <v>0</v>
      </c>
      <c r="G186" s="106">
        <f t="shared" si="7"/>
        <v>0</v>
      </c>
      <c r="H186" s="91"/>
      <c r="I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1"/>
    </row>
    <row r="187" spans="1:35" s="4" customFormat="1" ht="19.5" thickBot="1" x14ac:dyDescent="0.35">
      <c r="A187" s="248">
        <v>3200</v>
      </c>
      <c r="B187" s="268" t="s">
        <v>360</v>
      </c>
      <c r="C187" s="106">
        <v>35324</v>
      </c>
      <c r="D187" s="278"/>
      <c r="E187" s="106"/>
      <c r="F187" s="106">
        <f t="shared" si="6"/>
        <v>35324</v>
      </c>
      <c r="G187" s="106">
        <f t="shared" si="7"/>
        <v>0</v>
      </c>
      <c r="H187" s="91"/>
      <c r="I187" s="99"/>
      <c r="K187" s="99"/>
      <c r="L187" s="99"/>
      <c r="M187" s="99"/>
      <c r="N187" s="99"/>
      <c r="O187" s="99"/>
      <c r="P187" s="99"/>
      <c r="Q187" s="99">
        <v>6331</v>
      </c>
      <c r="R187" s="99"/>
      <c r="S187" s="99">
        <f>20919+3596</f>
        <v>24515</v>
      </c>
      <c r="T187" s="99"/>
      <c r="U187" s="99"/>
      <c r="V187" s="99"/>
      <c r="W187" s="99"/>
      <c r="X187" s="99">
        <v>4478</v>
      </c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1"/>
    </row>
    <row r="188" spans="1:35" s="4" customFormat="1" ht="19.5" thickBot="1" x14ac:dyDescent="0.35">
      <c r="A188" s="248">
        <v>3210</v>
      </c>
      <c r="B188" s="268" t="s">
        <v>361</v>
      </c>
      <c r="C188" s="106">
        <v>22004</v>
      </c>
      <c r="D188" s="278"/>
      <c r="E188" s="106"/>
      <c r="F188" s="106">
        <f t="shared" si="6"/>
        <v>22004</v>
      </c>
      <c r="G188" s="106">
        <f t="shared" si="7"/>
        <v>0</v>
      </c>
      <c r="H188" s="91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>
        <v>15963</v>
      </c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>
        <v>6041</v>
      </c>
      <c r="AE188" s="99"/>
      <c r="AF188" s="99"/>
      <c r="AG188" s="99"/>
      <c r="AH188" s="99"/>
      <c r="AI188" s="91"/>
    </row>
    <row r="189" spans="1:35" s="4" customFormat="1" ht="19.5" thickBot="1" x14ac:dyDescent="0.35">
      <c r="A189" s="248">
        <v>3220</v>
      </c>
      <c r="B189" s="268" t="s">
        <v>362</v>
      </c>
      <c r="C189" s="106">
        <v>6441</v>
      </c>
      <c r="D189" s="278" t="s">
        <v>375</v>
      </c>
      <c r="E189" s="106">
        <f t="shared" si="8"/>
        <v>6441</v>
      </c>
      <c r="F189" s="106">
        <f t="shared" si="6"/>
        <v>0</v>
      </c>
      <c r="G189" s="106">
        <f t="shared" si="7"/>
        <v>0</v>
      </c>
      <c r="H189" s="91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1"/>
    </row>
    <row r="190" spans="1:35" s="4" customFormat="1" ht="19.5" thickBot="1" x14ac:dyDescent="0.35">
      <c r="A190" s="248">
        <v>3230</v>
      </c>
      <c r="B190" s="268" t="s">
        <v>363</v>
      </c>
      <c r="C190" s="106">
        <v>5027</v>
      </c>
      <c r="D190" s="279" t="s">
        <v>375</v>
      </c>
      <c r="E190" s="106">
        <f t="shared" si="8"/>
        <v>5027</v>
      </c>
      <c r="F190" s="106">
        <f t="shared" si="6"/>
        <v>0</v>
      </c>
      <c r="G190" s="106">
        <f t="shared" si="7"/>
        <v>0</v>
      </c>
      <c r="H190" s="91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1"/>
    </row>
    <row r="191" spans="1:35" s="4" customFormat="1" ht="19.5" thickBot="1" x14ac:dyDescent="0.35">
      <c r="A191" s="243">
        <v>8001</v>
      </c>
      <c r="B191" s="268" t="s">
        <v>365</v>
      </c>
      <c r="C191" s="106">
        <v>31913</v>
      </c>
      <c r="D191" s="278"/>
      <c r="E191" s="106"/>
      <c r="F191" s="106">
        <f>SUM(H191:AI191)</f>
        <v>31913</v>
      </c>
      <c r="G191" s="106">
        <f>IF(ISBLANK(E191),C191-F191,C191-E191)</f>
        <v>0</v>
      </c>
      <c r="H191" s="91"/>
      <c r="I191" s="99"/>
      <c r="J191" s="99"/>
      <c r="K191" s="99"/>
      <c r="L191" s="99"/>
      <c r="M191" s="99"/>
      <c r="N191" s="99"/>
      <c r="O191" s="99"/>
      <c r="P191" s="99"/>
      <c r="Q191" s="99"/>
      <c r="R191" s="99">
        <v>31913</v>
      </c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1"/>
    </row>
    <row r="192" spans="1:35" s="4" customFormat="1" ht="19.5" thickBot="1" x14ac:dyDescent="0.35">
      <c r="A192" s="248">
        <v>9000</v>
      </c>
      <c r="B192" s="268" t="s">
        <v>366</v>
      </c>
      <c r="C192" s="106">
        <v>9846</v>
      </c>
      <c r="D192" s="278"/>
      <c r="E192" s="106"/>
      <c r="F192" s="106">
        <f t="shared" si="6"/>
        <v>9846</v>
      </c>
      <c r="G192" s="106">
        <f t="shared" si="7"/>
        <v>0</v>
      </c>
      <c r="H192" s="91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>
        <v>365</v>
      </c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>
        <v>9481</v>
      </c>
      <c r="AH192" s="99"/>
      <c r="AI192" s="91"/>
    </row>
    <row r="193" spans="1:35" s="4" customFormat="1" ht="19.5" thickBot="1" x14ac:dyDescent="0.35">
      <c r="A193" s="244">
        <v>9025</v>
      </c>
      <c r="B193" s="269" t="s">
        <v>380</v>
      </c>
      <c r="C193" s="106">
        <f>SUMIF(D13:D192,"9025",E13:E192)</f>
        <v>199831</v>
      </c>
      <c r="D193" s="92"/>
      <c r="E193" s="106"/>
      <c r="F193" s="106">
        <f t="shared" si="6"/>
        <v>199831</v>
      </c>
      <c r="G193" s="106">
        <f t="shared" si="7"/>
        <v>0</v>
      </c>
      <c r="H193" s="91"/>
      <c r="I193" s="99"/>
      <c r="J193" s="99"/>
      <c r="K193" s="99"/>
      <c r="L193" s="99"/>
      <c r="M193" s="99"/>
      <c r="N193" s="99"/>
      <c r="O193" s="99"/>
      <c r="P193" s="99"/>
      <c r="Q193" s="99"/>
      <c r="R193" s="99">
        <v>3959</v>
      </c>
      <c r="S193" s="99">
        <v>13346</v>
      </c>
      <c r="T193" s="99">
        <v>27934</v>
      </c>
      <c r="U193" s="99"/>
      <c r="V193" s="99"/>
      <c r="W193" s="99"/>
      <c r="X193" s="99"/>
      <c r="Y193" s="99">
        <v>48637</v>
      </c>
      <c r="Z193" s="99">
        <v>10885</v>
      </c>
      <c r="AA193" s="99">
        <v>12451</v>
      </c>
      <c r="AB193" s="99">
        <v>18286</v>
      </c>
      <c r="AC193" s="99">
        <v>18738</v>
      </c>
      <c r="AD193" s="99">
        <v>12859</v>
      </c>
      <c r="AE193" s="99">
        <v>14563</v>
      </c>
      <c r="AF193" s="99">
        <v>18173</v>
      </c>
      <c r="AG193" s="99"/>
      <c r="AH193" s="99"/>
      <c r="AI193" s="91"/>
    </row>
    <row r="194" spans="1:35" s="4" customFormat="1" ht="19.5" thickBot="1" x14ac:dyDescent="0.35">
      <c r="A194" s="244">
        <v>9035</v>
      </c>
      <c r="B194" s="269" t="s">
        <v>381</v>
      </c>
      <c r="C194" s="106">
        <f>SUMIF(D13:D192,"9035",E13:E192)</f>
        <v>171555</v>
      </c>
      <c r="D194" s="92"/>
      <c r="E194" s="106"/>
      <c r="F194" s="106">
        <f t="shared" si="6"/>
        <v>171555</v>
      </c>
      <c r="G194" s="106">
        <f t="shared" si="7"/>
        <v>0</v>
      </c>
      <c r="H194" s="91"/>
      <c r="I194" s="99"/>
      <c r="J194" s="99"/>
      <c r="K194" s="99"/>
      <c r="L194" s="99"/>
      <c r="M194" s="99"/>
      <c r="N194" s="99">
        <v>21641</v>
      </c>
      <c r="O194" s="99">
        <v>19400</v>
      </c>
      <c r="P194" s="99">
        <v>6200</v>
      </c>
      <c r="Q194" s="99">
        <v>7650</v>
      </c>
      <c r="R194" s="99">
        <v>9900</v>
      </c>
      <c r="S194" s="99">
        <v>59500</v>
      </c>
      <c r="T194" s="99">
        <v>11400</v>
      </c>
      <c r="U194" s="99">
        <v>18915</v>
      </c>
      <c r="V194" s="99">
        <v>6612</v>
      </c>
      <c r="W194" s="99"/>
      <c r="X194" s="99">
        <v>168</v>
      </c>
      <c r="Y194" s="99">
        <v>168</v>
      </c>
      <c r="Z194" s="99">
        <v>10001</v>
      </c>
      <c r="AA194" s="99"/>
      <c r="AB194" s="99"/>
      <c r="AC194" s="99"/>
      <c r="AD194" s="99"/>
      <c r="AE194" s="99"/>
      <c r="AF194" s="99"/>
      <c r="AG194" s="99"/>
      <c r="AH194" s="99"/>
      <c r="AI194" s="91"/>
    </row>
    <row r="195" spans="1:35" s="22" customFormat="1" ht="16.5" thickBot="1" x14ac:dyDescent="0.3">
      <c r="A195" s="244">
        <v>9040</v>
      </c>
      <c r="B195" s="66" t="s">
        <v>382</v>
      </c>
      <c r="C195" s="106">
        <f>SUMIF(D13:D192,"9040",E13:E192)</f>
        <v>46226</v>
      </c>
      <c r="D195" s="92"/>
      <c r="E195" s="106"/>
      <c r="F195" s="106">
        <f t="shared" si="6"/>
        <v>46226</v>
      </c>
      <c r="G195" s="106">
        <f t="shared" si="7"/>
        <v>0</v>
      </c>
      <c r="H195" s="91"/>
      <c r="I195" s="99"/>
      <c r="J195" s="99"/>
      <c r="K195" s="99"/>
      <c r="L195" s="99"/>
      <c r="M195" s="99"/>
      <c r="N195" s="99"/>
      <c r="O195" s="99"/>
      <c r="P195" s="99"/>
      <c r="Q195" s="99"/>
      <c r="R195" s="99">
        <v>1751</v>
      </c>
      <c r="S195" s="99">
        <v>21301</v>
      </c>
      <c r="T195" s="99"/>
      <c r="U195" s="99"/>
      <c r="V195" s="99"/>
      <c r="W195" s="99"/>
      <c r="X195" s="99">
        <v>59</v>
      </c>
      <c r="Y195" s="99"/>
      <c r="Z195" s="99">
        <f>3775+900</f>
        <v>4675</v>
      </c>
      <c r="AA195" s="99"/>
      <c r="AB195" s="99"/>
      <c r="AC195" s="99">
        <f>7897+10543</f>
        <v>18440</v>
      </c>
      <c r="AD195" s="99"/>
      <c r="AE195" s="99"/>
      <c r="AF195" s="99"/>
      <c r="AG195" s="99"/>
      <c r="AH195" s="99"/>
      <c r="AI195" s="91"/>
    </row>
    <row r="196" spans="1:35" s="22" customFormat="1" ht="16.5" thickBot="1" x14ac:dyDescent="0.3">
      <c r="A196" s="244">
        <v>9095</v>
      </c>
      <c r="B196" s="269" t="s">
        <v>383</v>
      </c>
      <c r="C196" s="106">
        <f>SUMIF(D13:D192,"9095",E13:E192)</f>
        <v>32599</v>
      </c>
      <c r="D196" s="92"/>
      <c r="E196" s="106"/>
      <c r="F196" s="106">
        <f t="shared" si="6"/>
        <v>32599</v>
      </c>
      <c r="G196" s="106">
        <f t="shared" si="7"/>
        <v>0</v>
      </c>
      <c r="H196" s="192"/>
      <c r="I196" s="191"/>
      <c r="J196" s="191"/>
      <c r="K196" s="191"/>
      <c r="L196" s="191"/>
      <c r="M196" s="191"/>
      <c r="N196" s="99"/>
      <c r="O196" s="99"/>
      <c r="P196" s="99"/>
      <c r="Q196" s="99"/>
      <c r="R196" s="99"/>
      <c r="S196" s="99"/>
      <c r="T196" s="99"/>
      <c r="U196" s="99">
        <v>32599</v>
      </c>
      <c r="V196" s="99"/>
      <c r="W196" s="191"/>
      <c r="X196" s="191"/>
      <c r="Y196" s="191"/>
      <c r="Z196" s="191"/>
      <c r="AA196" s="191"/>
      <c r="AB196" s="191"/>
      <c r="AC196" s="191"/>
      <c r="AD196" s="191"/>
      <c r="AE196" s="191"/>
      <c r="AF196" s="191"/>
      <c r="AG196" s="191"/>
      <c r="AH196" s="191"/>
    </row>
    <row r="197" spans="1:35" s="22" customFormat="1" ht="16.5" thickBot="1" x14ac:dyDescent="0.3">
      <c r="A197" s="244">
        <v>9125</v>
      </c>
      <c r="B197" s="269" t="s">
        <v>384</v>
      </c>
      <c r="C197" s="106">
        <f>SUMIF(D13:D192,"9125",E13:E192)</f>
        <v>0</v>
      </c>
      <c r="D197" s="92"/>
      <c r="E197" s="106"/>
      <c r="F197" s="106">
        <f t="shared" si="6"/>
        <v>0</v>
      </c>
      <c r="G197" s="106">
        <f t="shared" si="7"/>
        <v>0</v>
      </c>
      <c r="H197" s="192"/>
      <c r="I197" s="191"/>
      <c r="J197" s="191"/>
      <c r="K197" s="191"/>
      <c r="L197" s="191"/>
      <c r="M197" s="191"/>
      <c r="N197" s="99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</row>
    <row r="198" spans="1:35" s="22" customFormat="1" ht="16.5" thickBot="1" x14ac:dyDescent="0.3">
      <c r="A198" s="135"/>
      <c r="B198" s="269"/>
      <c r="C198" s="199"/>
      <c r="D198" s="92"/>
      <c r="E198" s="106"/>
      <c r="F198" s="106"/>
      <c r="G198" s="106"/>
      <c r="H198" s="192"/>
      <c r="I198" s="191"/>
      <c r="J198" s="191"/>
      <c r="K198" s="191"/>
      <c r="L198" s="191"/>
      <c r="M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</row>
    <row r="199" spans="1:35" s="181" customFormat="1" ht="16.5" thickBot="1" x14ac:dyDescent="0.3">
      <c r="A199" s="272"/>
      <c r="B199" s="272"/>
      <c r="C199" s="272">
        <f>SUM(C10:C197)-E199</f>
        <v>23984510</v>
      </c>
      <c r="D199" s="272">
        <f>SUM(D10:D197)</f>
        <v>0</v>
      </c>
      <c r="E199" s="171">
        <f>SUM(E10:E197)</f>
        <v>450211</v>
      </c>
      <c r="F199" s="171">
        <f>SUM(F13:F198)</f>
        <v>23994687</v>
      </c>
      <c r="G199" s="171">
        <f>SUM(G10:G197)</f>
        <v>8208</v>
      </c>
      <c r="H199" s="172">
        <f t="shared" ref="H199:AH199" si="9">SUM(H10:H197)</f>
        <v>0</v>
      </c>
      <c r="I199" s="172">
        <f t="shared" si="9"/>
        <v>0</v>
      </c>
      <c r="J199" s="172">
        <f t="shared" si="9"/>
        <v>0</v>
      </c>
      <c r="K199" s="172">
        <f t="shared" si="9"/>
        <v>278127</v>
      </c>
      <c r="L199" s="172">
        <f>SUM(L13:L198)</f>
        <v>790429</v>
      </c>
      <c r="M199" s="172">
        <f t="shared" si="9"/>
        <v>652030</v>
      </c>
      <c r="N199" s="172">
        <f t="shared" si="9"/>
        <v>1192343</v>
      </c>
      <c r="O199" s="172">
        <f t="shared" si="9"/>
        <v>1852079</v>
      </c>
      <c r="P199" s="172">
        <f t="shared" si="9"/>
        <v>1625272</v>
      </c>
      <c r="Q199" s="172">
        <f t="shared" si="9"/>
        <v>1845899</v>
      </c>
      <c r="R199" s="172">
        <f>SUM(R13:R197)</f>
        <v>1621737</v>
      </c>
      <c r="S199" s="172">
        <f t="shared" si="9"/>
        <v>4334465</v>
      </c>
      <c r="T199" s="172">
        <f t="shared" si="9"/>
        <v>840605</v>
      </c>
      <c r="U199" s="172">
        <f t="shared" si="9"/>
        <v>1387232</v>
      </c>
      <c r="V199" s="172">
        <f t="shared" si="9"/>
        <v>985951</v>
      </c>
      <c r="W199" s="172">
        <f t="shared" si="9"/>
        <v>589920</v>
      </c>
      <c r="X199" s="172">
        <f t="shared" si="9"/>
        <v>1594035</v>
      </c>
      <c r="Y199" s="172">
        <f t="shared" si="9"/>
        <v>1679090</v>
      </c>
      <c r="Z199" s="172">
        <f t="shared" si="9"/>
        <v>547625</v>
      </c>
      <c r="AA199" s="172">
        <f t="shared" si="9"/>
        <v>651785</v>
      </c>
      <c r="AB199" s="172">
        <f t="shared" si="9"/>
        <v>572991</v>
      </c>
      <c r="AC199" s="172">
        <f t="shared" si="9"/>
        <v>389009</v>
      </c>
      <c r="AD199" s="172">
        <f t="shared" si="9"/>
        <v>210854</v>
      </c>
      <c r="AE199" s="172">
        <f t="shared" si="9"/>
        <v>165213</v>
      </c>
      <c r="AF199" s="172">
        <f t="shared" si="9"/>
        <v>154477</v>
      </c>
      <c r="AG199" s="172">
        <f t="shared" si="9"/>
        <v>27378</v>
      </c>
      <c r="AH199" s="172">
        <f t="shared" si="9"/>
        <v>6141</v>
      </c>
    </row>
    <row r="200" spans="1:35" s="22" customFormat="1" x14ac:dyDescent="0.25">
      <c r="D200" s="16"/>
      <c r="Y200" s="242"/>
    </row>
    <row r="201" spans="1:35" s="22" customFormat="1" x14ac:dyDescent="0.25">
      <c r="D201" s="16"/>
      <c r="K201" s="242"/>
      <c r="L201" s="242"/>
      <c r="N201" s="242"/>
      <c r="O201" s="242"/>
      <c r="P201" s="242"/>
      <c r="Q201" s="242"/>
      <c r="R201" s="242"/>
      <c r="S201" s="242"/>
      <c r="T201" s="242"/>
      <c r="V201" s="242"/>
      <c r="Z201" s="242"/>
    </row>
    <row r="202" spans="1:35" s="22" customFormat="1" x14ac:dyDescent="0.25">
      <c r="A202" s="22" t="s">
        <v>364</v>
      </c>
      <c r="B202" s="22" t="s">
        <v>399</v>
      </c>
      <c r="D202" s="16"/>
      <c r="L202" s="242"/>
      <c r="S202" s="242"/>
      <c r="U202" s="242"/>
      <c r="V202" s="242"/>
    </row>
    <row r="203" spans="1:35" s="22" customFormat="1" x14ac:dyDescent="0.25">
      <c r="D203" s="16"/>
    </row>
    <row r="204" spans="1:35" s="22" customFormat="1" x14ac:dyDescent="0.25">
      <c r="D204" s="16"/>
    </row>
    <row r="205" spans="1:35" s="22" customFormat="1" x14ac:dyDescent="0.25">
      <c r="D205" s="16"/>
    </row>
    <row r="206" spans="1:35" s="22" customFormat="1" x14ac:dyDescent="0.25">
      <c r="D206" s="16"/>
    </row>
    <row r="207" spans="1:35" s="22" customFormat="1" x14ac:dyDescent="0.25">
      <c r="D207" s="16"/>
    </row>
    <row r="208" spans="1:35" s="22" customFormat="1" x14ac:dyDescent="0.25">
      <c r="D208" s="16"/>
    </row>
    <row r="209" spans="4:4" s="22" customFormat="1" x14ac:dyDescent="0.25">
      <c r="D209" s="16"/>
    </row>
    <row r="210" spans="4:4" s="22" customFormat="1" x14ac:dyDescent="0.25">
      <c r="D210" s="16"/>
    </row>
    <row r="211" spans="4:4" s="22" customFormat="1" x14ac:dyDescent="0.25">
      <c r="D211" s="16"/>
    </row>
    <row r="212" spans="4:4" s="22" customFormat="1" x14ac:dyDescent="0.25">
      <c r="D212" s="16"/>
    </row>
    <row r="213" spans="4:4" s="22" customFormat="1" x14ac:dyDescent="0.25">
      <c r="D213" s="16"/>
    </row>
    <row r="214" spans="4:4" s="22" customFormat="1" x14ac:dyDescent="0.25">
      <c r="D214" s="16"/>
    </row>
    <row r="215" spans="4:4" s="22" customFormat="1" x14ac:dyDescent="0.25">
      <c r="D215" s="16"/>
    </row>
    <row r="216" spans="4:4" s="22" customFormat="1" x14ac:dyDescent="0.25">
      <c r="D216" s="16"/>
    </row>
    <row r="217" spans="4:4" s="22" customFormat="1" x14ac:dyDescent="0.25">
      <c r="D217" s="16"/>
    </row>
    <row r="218" spans="4:4" s="22" customFormat="1" x14ac:dyDescent="0.25">
      <c r="D218" s="16"/>
    </row>
    <row r="219" spans="4:4" s="22" customFormat="1" x14ac:dyDescent="0.25">
      <c r="D219" s="16"/>
    </row>
    <row r="220" spans="4:4" s="22" customFormat="1" x14ac:dyDescent="0.25">
      <c r="D220" s="16"/>
    </row>
    <row r="221" spans="4:4" s="22" customFormat="1" x14ac:dyDescent="0.25">
      <c r="D221" s="16"/>
    </row>
    <row r="222" spans="4:4" s="22" customFormat="1" x14ac:dyDescent="0.25">
      <c r="D222" s="16"/>
    </row>
    <row r="223" spans="4:4" s="22" customFormat="1" x14ac:dyDescent="0.25">
      <c r="D223" s="16"/>
    </row>
    <row r="224" spans="4:4" s="22" customFormat="1" x14ac:dyDescent="0.25">
      <c r="D224" s="16"/>
    </row>
    <row r="225" spans="4:4" s="22" customFormat="1" x14ac:dyDescent="0.25">
      <c r="D225" s="16"/>
    </row>
    <row r="226" spans="4:4" s="22" customFormat="1" x14ac:dyDescent="0.25">
      <c r="D226" s="16"/>
    </row>
    <row r="227" spans="4:4" x14ac:dyDescent="0.25">
      <c r="D227" s="17"/>
    </row>
    <row r="228" spans="4:4" x14ac:dyDescent="0.25">
      <c r="D228" s="17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H268"/>
  <sheetViews>
    <sheetView zoomScaleNormal="100" workbookViewId="0">
      <pane xSplit="7" ySplit="12" topLeftCell="AF13" activePane="bottomRight" state="frozen"/>
      <selection pane="topRight" activeCell="H1" sqref="H1"/>
      <selection pane="bottomLeft" activeCell="A13" sqref="A13"/>
      <selection pane="bottomRight" activeCell="AF13" sqref="AF13"/>
    </sheetView>
  </sheetViews>
  <sheetFormatPr defaultColWidth="9.140625" defaultRowHeight="15" x14ac:dyDescent="0.25"/>
  <cols>
    <col min="1" max="1" width="9.140625" style="1"/>
    <col min="2" max="2" width="30.42578125" style="1" customWidth="1"/>
    <col min="3" max="3" width="16.42578125" style="24" customWidth="1"/>
    <col min="4" max="4" width="20" style="8" customWidth="1"/>
    <col min="5" max="5" width="17.5703125" style="24" customWidth="1"/>
    <col min="6" max="6" width="15.7109375" style="24" customWidth="1"/>
    <col min="7" max="7" width="17" style="24" customWidth="1"/>
    <col min="8" max="34" width="15.7109375" style="1" customWidth="1"/>
    <col min="35" max="16384" width="9.140625" style="1"/>
  </cols>
  <sheetData>
    <row r="1" spans="1:34" ht="21" x14ac:dyDescent="0.35">
      <c r="A1" s="26" t="s">
        <v>0</v>
      </c>
      <c r="B1" s="42"/>
      <c r="C1" s="28" t="s">
        <v>402</v>
      </c>
      <c r="D1" s="43"/>
      <c r="E1" s="53"/>
      <c r="F1" s="53"/>
      <c r="G1" s="54"/>
      <c r="H1" s="46"/>
      <c r="I1" s="46"/>
      <c r="J1" s="28" t="str">
        <f>A1</f>
        <v>Grant:</v>
      </c>
      <c r="K1" s="28" t="str">
        <f>C1</f>
        <v>Title III-A Formula</v>
      </c>
      <c r="L1" s="26"/>
      <c r="M1" s="26"/>
      <c r="N1" s="29"/>
      <c r="O1" s="29"/>
      <c r="P1" s="46"/>
      <c r="Q1" s="46"/>
      <c r="R1" s="28" t="s">
        <v>0</v>
      </c>
      <c r="S1" s="28" t="str">
        <f>$C$1</f>
        <v>Title III-A Formula</v>
      </c>
      <c r="T1" s="26"/>
      <c r="U1" s="26"/>
      <c r="V1" s="29"/>
      <c r="W1" s="29"/>
      <c r="X1" s="46"/>
      <c r="Y1" s="46"/>
      <c r="Z1" s="28" t="s">
        <v>0</v>
      </c>
      <c r="AA1" s="28" t="str">
        <f>$C$1</f>
        <v>Title III-A Formula</v>
      </c>
      <c r="AB1" s="26"/>
      <c r="AC1" s="26"/>
      <c r="AD1" s="29"/>
      <c r="AE1" s="29"/>
      <c r="AF1" s="46"/>
      <c r="AG1" s="46"/>
      <c r="AH1" s="28"/>
    </row>
    <row r="2" spans="1:34" ht="15.75" x14ac:dyDescent="0.25">
      <c r="A2" s="31" t="s">
        <v>1</v>
      </c>
      <c r="B2" s="42"/>
      <c r="C2" s="32" t="s">
        <v>401</v>
      </c>
      <c r="D2" s="55"/>
      <c r="E2" s="56"/>
      <c r="F2" s="44"/>
      <c r="G2" s="45"/>
      <c r="H2" s="46"/>
      <c r="I2" s="46"/>
      <c r="J2" s="31" t="s">
        <v>2</v>
      </c>
      <c r="K2" s="31"/>
      <c r="L2" s="34" t="str">
        <f>$C$4</f>
        <v>2013-14</v>
      </c>
      <c r="M2" s="34"/>
      <c r="N2" s="33"/>
      <c r="O2" s="33"/>
      <c r="P2" s="33"/>
      <c r="Q2" s="33"/>
      <c r="R2" s="31" t="s">
        <v>2</v>
      </c>
      <c r="S2" s="31"/>
      <c r="T2" s="34" t="str">
        <f>$C$4</f>
        <v>2013-14</v>
      </c>
      <c r="U2" s="34"/>
      <c r="V2" s="33"/>
      <c r="W2" s="33"/>
      <c r="X2" s="33"/>
      <c r="Y2" s="33"/>
      <c r="Z2" s="31" t="s">
        <v>2</v>
      </c>
      <c r="AA2" s="31"/>
      <c r="AB2" s="34" t="str">
        <f>$C$4</f>
        <v>2013-14</v>
      </c>
      <c r="AC2" s="34"/>
      <c r="AD2" s="33"/>
      <c r="AE2" s="33"/>
      <c r="AF2" s="33"/>
      <c r="AG2" s="33"/>
      <c r="AH2" s="31"/>
    </row>
    <row r="3" spans="1:34" ht="15.75" x14ac:dyDescent="0.25">
      <c r="A3" s="31" t="s">
        <v>4</v>
      </c>
      <c r="B3" s="42"/>
      <c r="C3" s="34">
        <v>4365</v>
      </c>
      <c r="D3" s="43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34" ht="21" x14ac:dyDescent="0.35">
      <c r="A4" s="31" t="s">
        <v>2</v>
      </c>
      <c r="B4" s="42"/>
      <c r="C4" s="28" t="str">
        <f>'NCLB Title I-A Formula'!$C$4</f>
        <v>2013-14</v>
      </c>
      <c r="D4" s="43"/>
      <c r="E4" s="44"/>
      <c r="F4" s="45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ht="15.75" x14ac:dyDescent="0.25">
      <c r="A5" s="31" t="s">
        <v>437</v>
      </c>
      <c r="B5" s="42"/>
      <c r="C5" s="231" t="s">
        <v>479</v>
      </c>
      <c r="D5" s="43"/>
      <c r="E5" s="44"/>
      <c r="F5" s="44"/>
      <c r="G5" s="47"/>
      <c r="H5" s="35"/>
      <c r="I5" s="35"/>
      <c r="J5" s="35"/>
      <c r="K5" s="35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5.75" x14ac:dyDescent="0.25">
      <c r="A6" s="31" t="s">
        <v>5</v>
      </c>
      <c r="B6" s="42"/>
      <c r="C6" s="231" t="s">
        <v>369</v>
      </c>
      <c r="D6" s="43"/>
      <c r="E6" s="44"/>
      <c r="F6" s="44"/>
      <c r="G6" s="47"/>
      <c r="H6" s="35"/>
      <c r="I6" s="35"/>
      <c r="J6" s="35"/>
      <c r="K6" s="35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15.75" x14ac:dyDescent="0.25">
      <c r="A7" s="31"/>
      <c r="B7" s="42"/>
      <c r="C7" s="231" t="s">
        <v>487</v>
      </c>
      <c r="D7" s="43"/>
      <c r="E7" s="44"/>
      <c r="F7" s="44"/>
      <c r="G7" s="47"/>
      <c r="H7" s="35"/>
      <c r="I7" s="35"/>
      <c r="J7" s="35"/>
      <c r="K7" s="35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15.75" x14ac:dyDescent="0.25">
      <c r="A8" s="31"/>
      <c r="B8" s="42"/>
      <c r="C8" s="34"/>
      <c r="D8" s="43"/>
      <c r="E8" s="44"/>
      <c r="F8" s="44"/>
      <c r="G8" s="47"/>
      <c r="H8" s="35"/>
      <c r="I8" s="35"/>
      <c r="J8" s="35"/>
      <c r="K8" s="35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15.75" x14ac:dyDescent="0.25">
      <c r="A9" s="31" t="s">
        <v>388</v>
      </c>
      <c r="B9" s="42"/>
      <c r="C9" s="34" t="s">
        <v>480</v>
      </c>
      <c r="D9" s="43"/>
      <c r="E9" s="44"/>
      <c r="F9" s="45"/>
      <c r="G9" s="49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15.75" x14ac:dyDescent="0.25">
      <c r="A10" s="31" t="s">
        <v>389</v>
      </c>
      <c r="B10" s="42"/>
      <c r="C10" s="34" t="s">
        <v>390</v>
      </c>
      <c r="D10" s="43"/>
      <c r="E10" s="44"/>
      <c r="F10" s="45"/>
      <c r="G10" s="49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16.5" thickBot="1" x14ac:dyDescent="0.3">
      <c r="A11" s="31" t="s">
        <v>438</v>
      </c>
      <c r="B11" s="27"/>
      <c r="C11" s="31" t="s">
        <v>478</v>
      </c>
      <c r="D11" s="43"/>
      <c r="E11" s="44"/>
      <c r="F11" s="45"/>
      <c r="G11" s="49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23" customFormat="1" ht="32.25" customHeight="1" thickBot="1" x14ac:dyDescent="0.3">
      <c r="A12" s="128" t="s">
        <v>370</v>
      </c>
      <c r="B12" s="129" t="s">
        <v>371</v>
      </c>
      <c r="C12" s="137" t="s">
        <v>372</v>
      </c>
      <c r="D12" s="139" t="s">
        <v>433</v>
      </c>
      <c r="E12" s="139" t="s">
        <v>435</v>
      </c>
      <c r="F12" s="131" t="s">
        <v>373</v>
      </c>
      <c r="G12" s="72" t="s">
        <v>374</v>
      </c>
      <c r="H12" s="132" t="s">
        <v>385</v>
      </c>
      <c r="I12" s="132" t="s">
        <v>386</v>
      </c>
      <c r="J12" s="132" t="s">
        <v>387</v>
      </c>
      <c r="K12" s="132" t="s">
        <v>450</v>
      </c>
      <c r="L12" s="132" t="s">
        <v>451</v>
      </c>
      <c r="M12" s="132" t="s">
        <v>452</v>
      </c>
      <c r="N12" s="132" t="s">
        <v>453</v>
      </c>
      <c r="O12" s="132" t="s">
        <v>454</v>
      </c>
      <c r="P12" s="132" t="s">
        <v>455</v>
      </c>
      <c r="Q12" s="132" t="s">
        <v>456</v>
      </c>
      <c r="R12" s="132" t="s">
        <v>457</v>
      </c>
      <c r="S12" s="132" t="s">
        <v>458</v>
      </c>
      <c r="T12" s="132" t="s">
        <v>447</v>
      </c>
      <c r="U12" s="132" t="s">
        <v>448</v>
      </c>
      <c r="V12" s="132" t="s">
        <v>449</v>
      </c>
      <c r="W12" s="132" t="s">
        <v>464</v>
      </c>
      <c r="X12" s="132" t="s">
        <v>465</v>
      </c>
      <c r="Y12" s="132" t="s">
        <v>466</v>
      </c>
      <c r="Z12" s="132" t="s">
        <v>467</v>
      </c>
      <c r="AA12" s="132" t="s">
        <v>468</v>
      </c>
      <c r="AB12" s="132" t="s">
        <v>469</v>
      </c>
      <c r="AC12" s="132" t="s">
        <v>470</v>
      </c>
      <c r="AD12" s="132" t="s">
        <v>471</v>
      </c>
      <c r="AE12" s="132" t="s">
        <v>472</v>
      </c>
      <c r="AF12" s="132" t="s">
        <v>473</v>
      </c>
      <c r="AG12" s="132" t="s">
        <v>474</v>
      </c>
      <c r="AH12" s="132" t="s">
        <v>475</v>
      </c>
    </row>
    <row r="13" spans="1:34" s="4" customFormat="1" ht="19.5" thickBot="1" x14ac:dyDescent="0.35">
      <c r="A13" s="255">
        <v>10</v>
      </c>
      <c r="B13" s="57" t="s">
        <v>186</v>
      </c>
      <c r="C13" s="106">
        <v>161045</v>
      </c>
      <c r="D13" s="280"/>
      <c r="E13" s="106"/>
      <c r="F13" s="106">
        <f t="shared" ref="F13:F44" si="0">SUM(I13:AH13)</f>
        <v>161045</v>
      </c>
      <c r="G13" s="106">
        <f t="shared" ref="G13:G44" si="1">IF(ISBLANK(E13),C13-F13,C13-E13)</f>
        <v>0</v>
      </c>
      <c r="I13" s="99"/>
      <c r="J13" s="99"/>
      <c r="K13" s="99"/>
      <c r="L13" s="99">
        <v>11923</v>
      </c>
      <c r="M13" s="99"/>
      <c r="N13" s="99">
        <v>7872</v>
      </c>
      <c r="O13" s="99">
        <v>10202</v>
      </c>
      <c r="P13" s="99">
        <v>18591</v>
      </c>
      <c r="Q13" s="99">
        <v>20770</v>
      </c>
      <c r="R13" s="99">
        <v>14514</v>
      </c>
      <c r="S13" s="99">
        <f>10928+19188</f>
        <v>30116</v>
      </c>
      <c r="T13" s="99"/>
      <c r="U13" s="99"/>
      <c r="V13" s="99">
        <v>42747</v>
      </c>
      <c r="W13" s="99"/>
      <c r="X13" s="99"/>
      <c r="Y13" s="99">
        <v>4310</v>
      </c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s="4" customFormat="1" ht="19.5" thickBot="1" x14ac:dyDescent="0.35">
      <c r="A14" s="253">
        <v>20</v>
      </c>
      <c r="B14" s="59" t="s">
        <v>187</v>
      </c>
      <c r="C14" s="106">
        <v>420832</v>
      </c>
      <c r="D14" s="281"/>
      <c r="E14" s="106"/>
      <c r="F14" s="106">
        <f t="shared" si="0"/>
        <v>420832</v>
      </c>
      <c r="G14" s="106">
        <f t="shared" si="1"/>
        <v>0</v>
      </c>
      <c r="I14" s="99"/>
      <c r="J14" s="99"/>
      <c r="K14" s="99"/>
      <c r="L14" s="99"/>
      <c r="M14" s="99"/>
      <c r="N14" s="99"/>
      <c r="O14" s="99">
        <v>123536</v>
      </c>
      <c r="P14" s="99">
        <v>39363</v>
      </c>
      <c r="Q14" s="99">
        <v>35483</v>
      </c>
      <c r="R14" s="99">
        <v>20827</v>
      </c>
      <c r="S14" s="99">
        <f>34985+61444</f>
        <v>96429</v>
      </c>
      <c r="T14" s="99"/>
      <c r="U14" s="99">
        <v>5360</v>
      </c>
      <c r="V14" s="99"/>
      <c r="W14" s="99"/>
      <c r="X14" s="99">
        <v>99834</v>
      </c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s="4" customFormat="1" ht="19.5" thickBot="1" x14ac:dyDescent="0.35">
      <c r="A15" s="253">
        <v>30</v>
      </c>
      <c r="B15" s="59" t="s">
        <v>188</v>
      </c>
      <c r="C15" s="106">
        <v>193644</v>
      </c>
      <c r="D15" s="281"/>
      <c r="E15" s="106"/>
      <c r="F15" s="106">
        <f t="shared" si="0"/>
        <v>193644</v>
      </c>
      <c r="G15" s="106">
        <f t="shared" si="1"/>
        <v>0</v>
      </c>
      <c r="I15" s="99"/>
      <c r="J15" s="99"/>
      <c r="K15" s="99"/>
      <c r="L15" s="99"/>
      <c r="M15" s="99"/>
      <c r="N15" s="99"/>
      <c r="O15" s="99"/>
      <c r="P15" s="99"/>
      <c r="Q15" s="99">
        <v>25627</v>
      </c>
      <c r="R15" s="99">
        <v>13146</v>
      </c>
      <c r="S15" s="99">
        <v>13783</v>
      </c>
      <c r="T15" s="99"/>
      <c r="U15" s="99">
        <v>26311</v>
      </c>
      <c r="V15" s="99"/>
      <c r="W15" s="99"/>
      <c r="X15" s="99">
        <v>46384</v>
      </c>
      <c r="Y15" s="99">
        <v>15179</v>
      </c>
      <c r="Z15" s="99">
        <v>42155</v>
      </c>
      <c r="AA15" s="99"/>
      <c r="AB15" s="99">
        <v>11059</v>
      </c>
      <c r="AC15" s="99"/>
      <c r="AD15" s="99"/>
      <c r="AE15" s="99"/>
      <c r="AF15" s="99"/>
      <c r="AG15" s="99"/>
      <c r="AH15" s="99"/>
    </row>
    <row r="16" spans="1:34" s="4" customFormat="1" ht="19.5" thickBot="1" x14ac:dyDescent="0.35">
      <c r="A16" s="253">
        <v>40</v>
      </c>
      <c r="B16" s="268" t="s">
        <v>488</v>
      </c>
      <c r="C16" s="106">
        <v>135947</v>
      </c>
      <c r="D16" s="281"/>
      <c r="E16" s="106"/>
      <c r="F16" s="106">
        <f t="shared" si="0"/>
        <v>135947</v>
      </c>
      <c r="G16" s="106">
        <f t="shared" si="1"/>
        <v>0</v>
      </c>
      <c r="I16" s="99"/>
      <c r="J16" s="99"/>
      <c r="K16" s="99"/>
      <c r="L16" s="99"/>
      <c r="M16" s="99"/>
      <c r="N16" s="99"/>
      <c r="O16" s="99">
        <v>4171</v>
      </c>
      <c r="P16" s="99">
        <v>15314</v>
      </c>
      <c r="Q16" s="99">
        <v>17296</v>
      </c>
      <c r="R16" s="99"/>
      <c r="S16" s="99">
        <f>33885+28094</f>
        <v>61979</v>
      </c>
      <c r="T16" s="99"/>
      <c r="U16" s="99"/>
      <c r="V16" s="99">
        <v>3552</v>
      </c>
      <c r="W16" s="99"/>
      <c r="X16" s="99"/>
      <c r="Y16" s="99"/>
      <c r="Z16" s="99">
        <v>33635</v>
      </c>
      <c r="AA16" s="99"/>
      <c r="AB16" s="99"/>
      <c r="AC16" s="99"/>
      <c r="AD16" s="99"/>
      <c r="AE16" s="99"/>
      <c r="AF16" s="99"/>
      <c r="AG16" s="99"/>
      <c r="AH16" s="99"/>
    </row>
    <row r="17" spans="1:34" s="4" customFormat="1" ht="19.5" thickBot="1" x14ac:dyDescent="0.35">
      <c r="A17" s="253">
        <v>50</v>
      </c>
      <c r="B17" s="59" t="s">
        <v>190</v>
      </c>
      <c r="C17" s="106">
        <v>4606</v>
      </c>
      <c r="D17" s="281">
        <v>9025</v>
      </c>
      <c r="E17" s="106">
        <f>IF(ISBLANK(D17),,C17)</f>
        <v>4606</v>
      </c>
      <c r="F17" s="106">
        <f t="shared" si="0"/>
        <v>0</v>
      </c>
      <c r="G17" s="106">
        <f t="shared" si="1"/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s="4" customFormat="1" ht="19.5" thickBot="1" x14ac:dyDescent="0.35">
      <c r="A18" s="253">
        <v>60</v>
      </c>
      <c r="B18" s="59" t="s">
        <v>191</v>
      </c>
      <c r="C18" s="106">
        <v>2598</v>
      </c>
      <c r="D18" s="281">
        <v>9025</v>
      </c>
      <c r="E18" s="106">
        <f>IF(ISBLANK(D18),,C18)</f>
        <v>2598</v>
      </c>
      <c r="F18" s="106">
        <f t="shared" si="0"/>
        <v>0</v>
      </c>
      <c r="G18" s="106">
        <f t="shared" si="1"/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s="4" customFormat="1" ht="19.5" thickBot="1" x14ac:dyDescent="0.35">
      <c r="A19" s="253">
        <v>70</v>
      </c>
      <c r="B19" s="59" t="s">
        <v>192</v>
      </c>
      <c r="C19" s="106">
        <v>241125</v>
      </c>
      <c r="D19" s="281"/>
      <c r="E19" s="106"/>
      <c r="F19" s="106">
        <f t="shared" si="0"/>
        <v>241125</v>
      </c>
      <c r="G19" s="106">
        <f t="shared" si="1"/>
        <v>0</v>
      </c>
      <c r="I19" s="99"/>
      <c r="J19" s="99"/>
      <c r="K19" s="99"/>
      <c r="L19" s="99">
        <f>16880+20241</f>
        <v>37121</v>
      </c>
      <c r="M19" s="99">
        <v>13703</v>
      </c>
      <c r="N19" s="99">
        <v>11940</v>
      </c>
      <c r="O19" s="99">
        <v>11271</v>
      </c>
      <c r="P19" s="99">
        <v>10672</v>
      </c>
      <c r="Q19" s="99">
        <v>13577</v>
      </c>
      <c r="R19" s="99">
        <v>11417</v>
      </c>
      <c r="S19" s="99">
        <v>12262</v>
      </c>
      <c r="T19" s="99">
        <v>18103</v>
      </c>
      <c r="U19" s="99">
        <v>9881</v>
      </c>
      <c r="V19" s="99">
        <v>73</v>
      </c>
      <c r="W19" s="99"/>
      <c r="X19" s="99">
        <v>68592</v>
      </c>
      <c r="Y19" s="99">
        <v>22513</v>
      </c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s="4" customFormat="1" ht="19.5" thickBot="1" x14ac:dyDescent="0.35">
      <c r="A20" s="253">
        <v>100</v>
      </c>
      <c r="B20" s="59" t="s">
        <v>193</v>
      </c>
      <c r="C20" s="106">
        <v>17658</v>
      </c>
      <c r="D20" s="281"/>
      <c r="E20" s="106"/>
      <c r="F20" s="106">
        <f t="shared" si="0"/>
        <v>17658</v>
      </c>
      <c r="G20" s="106">
        <f t="shared" si="1"/>
        <v>0</v>
      </c>
      <c r="I20" s="99"/>
      <c r="J20" s="99"/>
      <c r="K20" s="99">
        <v>1528</v>
      </c>
      <c r="L20" s="99">
        <v>1565</v>
      </c>
      <c r="M20" s="99">
        <v>1547</v>
      </c>
      <c r="N20" s="99">
        <v>1546</v>
      </c>
      <c r="O20" s="99">
        <v>1558</v>
      </c>
      <c r="P20" s="99">
        <v>1558</v>
      </c>
      <c r="Q20" s="99">
        <v>1559</v>
      </c>
      <c r="R20" s="99">
        <v>1615</v>
      </c>
      <c r="S20" s="99">
        <f>1506+1610</f>
        <v>3116</v>
      </c>
      <c r="T20" s="99"/>
      <c r="U20" s="99">
        <v>1558</v>
      </c>
      <c r="V20" s="99">
        <v>508</v>
      </c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s="4" customFormat="1" ht="19.5" thickBot="1" x14ac:dyDescent="0.35">
      <c r="A21" s="253">
        <v>110</v>
      </c>
      <c r="B21" s="59" t="s">
        <v>194</v>
      </c>
      <c r="C21" s="106">
        <v>2362</v>
      </c>
      <c r="D21" s="281">
        <v>9055</v>
      </c>
      <c r="E21" s="106">
        <f>IF(ISBLANK(D21),,C21)</f>
        <v>2362</v>
      </c>
      <c r="F21" s="106">
        <f t="shared" si="0"/>
        <v>0</v>
      </c>
      <c r="G21" s="106">
        <f t="shared" si="1"/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s="4" customFormat="1" ht="19.5" thickBot="1" x14ac:dyDescent="0.35">
      <c r="A22" s="253">
        <v>120</v>
      </c>
      <c r="B22" s="59" t="s">
        <v>195</v>
      </c>
      <c r="C22" s="106">
        <v>24508</v>
      </c>
      <c r="D22" s="281"/>
      <c r="E22" s="106"/>
      <c r="F22" s="106">
        <f t="shared" si="0"/>
        <v>24508</v>
      </c>
      <c r="G22" s="106">
        <f t="shared" si="1"/>
        <v>0</v>
      </c>
      <c r="I22" s="99"/>
      <c r="J22" s="99"/>
      <c r="K22" s="99">
        <v>2839</v>
      </c>
      <c r="L22" s="99">
        <v>2166</v>
      </c>
      <c r="M22" s="99">
        <v>2167</v>
      </c>
      <c r="N22" s="99">
        <v>2199</v>
      </c>
      <c r="O22" s="99">
        <v>2092</v>
      </c>
      <c r="P22" s="99">
        <v>2092</v>
      </c>
      <c r="Q22" s="99">
        <v>2092</v>
      </c>
      <c r="R22" s="99">
        <v>2093</v>
      </c>
      <c r="S22" s="99">
        <f>2092+2092</f>
        <v>4184</v>
      </c>
      <c r="T22" s="99"/>
      <c r="U22" s="99">
        <v>2584</v>
      </c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s="4" customFormat="1" ht="19.5" thickBot="1" x14ac:dyDescent="0.35">
      <c r="A23" s="253">
        <v>123</v>
      </c>
      <c r="B23" s="59" t="s">
        <v>196</v>
      </c>
      <c r="C23" s="106">
        <v>35965</v>
      </c>
      <c r="D23" s="281"/>
      <c r="E23" s="106"/>
      <c r="F23" s="106">
        <f t="shared" si="0"/>
        <v>35965</v>
      </c>
      <c r="G23" s="106">
        <f t="shared" si="1"/>
        <v>0</v>
      </c>
      <c r="I23" s="99"/>
      <c r="J23" s="99"/>
      <c r="K23" s="99"/>
      <c r="L23" s="99"/>
      <c r="M23" s="99"/>
      <c r="N23" s="99">
        <v>8406</v>
      </c>
      <c r="O23" s="99"/>
      <c r="P23" s="99"/>
      <c r="Q23" s="99">
        <v>10642</v>
      </c>
      <c r="R23" s="99"/>
      <c r="S23" s="99"/>
      <c r="T23" s="99">
        <v>12095</v>
      </c>
      <c r="U23" s="99"/>
      <c r="V23" s="99"/>
      <c r="W23" s="99">
        <v>415</v>
      </c>
      <c r="X23" s="99">
        <v>4407</v>
      </c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s="4" customFormat="1" ht="19.5" thickBot="1" x14ac:dyDescent="0.35">
      <c r="A24" s="253">
        <v>130</v>
      </c>
      <c r="B24" s="59" t="s">
        <v>197</v>
      </c>
      <c r="C24" s="106">
        <v>329236</v>
      </c>
      <c r="D24" s="281"/>
      <c r="E24" s="106"/>
      <c r="F24" s="106">
        <f t="shared" si="0"/>
        <v>329236</v>
      </c>
      <c r="G24" s="106">
        <f t="shared" si="1"/>
        <v>0</v>
      </c>
      <c r="I24" s="99"/>
      <c r="J24" s="99"/>
      <c r="K24" s="99"/>
      <c r="L24" s="99"/>
      <c r="M24" s="99"/>
      <c r="N24" s="99">
        <f>122927+11566+29381</f>
        <v>163874</v>
      </c>
      <c r="O24" s="99">
        <v>29793</v>
      </c>
      <c r="P24" s="99">
        <v>24187</v>
      </c>
      <c r="Q24" s="99">
        <v>29457</v>
      </c>
      <c r="R24" s="99">
        <v>29466</v>
      </c>
      <c r="S24" s="99">
        <v>26962</v>
      </c>
      <c r="T24" s="99"/>
      <c r="U24" s="99"/>
      <c r="V24" s="99"/>
      <c r="W24" s="99"/>
      <c r="X24" s="99"/>
      <c r="Y24" s="99">
        <v>25497</v>
      </c>
      <c r="Z24" s="99">
        <f>-64799+29248+27422</f>
        <v>-8129</v>
      </c>
      <c r="AA24" s="99">
        <v>8129</v>
      </c>
      <c r="AB24" s="99"/>
      <c r="AC24" s="99"/>
      <c r="AD24" s="99"/>
      <c r="AE24" s="99"/>
      <c r="AF24" s="99"/>
      <c r="AG24" s="99"/>
      <c r="AH24" s="99"/>
    </row>
    <row r="25" spans="1:34" s="4" customFormat="1" ht="19.5" thickBot="1" x14ac:dyDescent="0.35">
      <c r="A25" s="253">
        <v>140</v>
      </c>
      <c r="B25" s="59" t="s">
        <v>198</v>
      </c>
      <c r="C25" s="106">
        <v>52560</v>
      </c>
      <c r="D25" s="281"/>
      <c r="E25" s="106"/>
      <c r="F25" s="106">
        <f t="shared" si="0"/>
        <v>52560</v>
      </c>
      <c r="G25" s="106">
        <f t="shared" si="1"/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>
        <v>30000</v>
      </c>
      <c r="V25" s="99"/>
      <c r="W25" s="99"/>
      <c r="X25" s="99"/>
      <c r="Y25" s="99"/>
      <c r="Z25" s="99"/>
      <c r="AA25" s="99"/>
      <c r="AB25" s="99"/>
      <c r="AC25" s="99"/>
      <c r="AD25" s="99">
        <v>5312</v>
      </c>
      <c r="AE25" s="99"/>
      <c r="AF25" s="99">
        <v>17248</v>
      </c>
      <c r="AG25" s="99"/>
      <c r="AH25" s="99"/>
    </row>
    <row r="26" spans="1:34" s="4" customFormat="1" ht="19.5" thickBot="1" x14ac:dyDescent="0.35">
      <c r="A26" s="253">
        <v>170</v>
      </c>
      <c r="B26" s="59" t="s">
        <v>199</v>
      </c>
      <c r="C26" s="106">
        <v>591</v>
      </c>
      <c r="D26" s="281">
        <v>9025</v>
      </c>
      <c r="E26" s="106">
        <f>IF(ISBLANK(D26),,C26)</f>
        <v>591</v>
      </c>
      <c r="F26" s="106">
        <f t="shared" si="0"/>
        <v>0</v>
      </c>
      <c r="G26" s="106">
        <f t="shared" si="1"/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s="4" customFormat="1" ht="19.5" thickBot="1" x14ac:dyDescent="0.35">
      <c r="A27" s="253">
        <v>180</v>
      </c>
      <c r="B27" s="59" t="s">
        <v>200</v>
      </c>
      <c r="C27" s="106">
        <v>917610</v>
      </c>
      <c r="D27" s="281"/>
      <c r="E27" s="106"/>
      <c r="F27" s="106">
        <f t="shared" si="0"/>
        <v>917610</v>
      </c>
      <c r="G27" s="106">
        <f t="shared" si="1"/>
        <v>0</v>
      </c>
      <c r="I27" s="99"/>
      <c r="J27" s="99"/>
      <c r="K27" s="99"/>
      <c r="L27" s="99"/>
      <c r="M27" s="99"/>
      <c r="N27" s="99"/>
      <c r="O27" s="99">
        <v>12993</v>
      </c>
      <c r="P27" s="99">
        <v>82306</v>
      </c>
      <c r="Q27" s="99">
        <v>74436</v>
      </c>
      <c r="R27" s="99">
        <v>78482</v>
      </c>
      <c r="S27" s="99">
        <f>76008+78516</f>
        <v>154524</v>
      </c>
      <c r="T27" s="99"/>
      <c r="U27" s="99">
        <v>60055</v>
      </c>
      <c r="V27" s="99">
        <v>14829</v>
      </c>
      <c r="W27" s="99">
        <v>66</v>
      </c>
      <c r="X27" s="99"/>
      <c r="Y27" s="99">
        <v>122565</v>
      </c>
      <c r="Z27" s="99"/>
      <c r="AA27" s="99">
        <v>212432</v>
      </c>
      <c r="AB27" s="99">
        <v>104922</v>
      </c>
      <c r="AC27" s="99"/>
      <c r="AD27" s="99"/>
      <c r="AE27" s="99"/>
      <c r="AF27" s="99"/>
      <c r="AG27" s="99"/>
      <c r="AH27" s="99"/>
    </row>
    <row r="28" spans="1:34" s="4" customFormat="1" ht="19.5" thickBot="1" x14ac:dyDescent="0.35">
      <c r="A28" s="253">
        <v>190</v>
      </c>
      <c r="B28" s="59" t="s">
        <v>201</v>
      </c>
      <c r="C28" s="106">
        <v>945</v>
      </c>
      <c r="D28" s="281">
        <v>9025</v>
      </c>
      <c r="E28" s="106">
        <f>IF(ISBLANK(D28),,C28)</f>
        <v>945</v>
      </c>
      <c r="F28" s="106">
        <f t="shared" si="0"/>
        <v>0</v>
      </c>
      <c r="G28" s="106">
        <f t="shared" si="1"/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4" customFormat="1" ht="19.5" thickBot="1" x14ac:dyDescent="0.35">
      <c r="A29" s="253">
        <v>220</v>
      </c>
      <c r="B29" s="59" t="s">
        <v>202</v>
      </c>
      <c r="C29" s="106">
        <v>6850</v>
      </c>
      <c r="D29" s="281">
        <v>1520</v>
      </c>
      <c r="E29" s="106">
        <f>IF(ISBLANK(D29),,C29)</f>
        <v>6850</v>
      </c>
      <c r="F29" s="106">
        <f t="shared" si="0"/>
        <v>0</v>
      </c>
      <c r="G29" s="106">
        <f t="shared" si="1"/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s="4" customFormat="1" ht="19.5" thickBot="1" x14ac:dyDescent="0.35">
      <c r="A30" s="253">
        <v>230</v>
      </c>
      <c r="B30" s="59" t="s">
        <v>203</v>
      </c>
      <c r="C30" s="106">
        <v>827</v>
      </c>
      <c r="D30" s="281">
        <v>9075</v>
      </c>
      <c r="E30" s="106">
        <f>IF(ISBLANK(D30),,C30)</f>
        <v>827</v>
      </c>
      <c r="F30" s="106">
        <f t="shared" si="0"/>
        <v>0</v>
      </c>
      <c r="G30" s="106">
        <f t="shared" si="1"/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s="4" customFormat="1" ht="19.5" thickBot="1" x14ac:dyDescent="0.35">
      <c r="A31" s="253">
        <v>240</v>
      </c>
      <c r="B31" s="59" t="s">
        <v>204</v>
      </c>
      <c r="C31" s="106">
        <v>0</v>
      </c>
      <c r="D31" s="281"/>
      <c r="E31" s="106"/>
      <c r="F31" s="106">
        <f t="shared" si="0"/>
        <v>0</v>
      </c>
      <c r="G31" s="106">
        <f t="shared" si="1"/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s="4" customFormat="1" ht="19.5" thickBot="1" x14ac:dyDescent="0.35">
      <c r="A32" s="253">
        <v>250</v>
      </c>
      <c r="B32" s="59" t="s">
        <v>205</v>
      </c>
      <c r="C32" s="106">
        <v>118</v>
      </c>
      <c r="D32" s="281">
        <v>9075</v>
      </c>
      <c r="E32" s="106">
        <f>IF(ISBLANK(D32),,C32)</f>
        <v>118</v>
      </c>
      <c r="F32" s="106">
        <f t="shared" si="0"/>
        <v>0</v>
      </c>
      <c r="G32" s="106">
        <f t="shared" si="1"/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s="4" customFormat="1" ht="19.5" thickBot="1" x14ac:dyDescent="0.35">
      <c r="A33" s="253">
        <v>260</v>
      </c>
      <c r="B33" s="59" t="s">
        <v>206</v>
      </c>
      <c r="C33" s="106">
        <v>0</v>
      </c>
      <c r="D33" s="281"/>
      <c r="E33" s="106"/>
      <c r="F33" s="106">
        <f t="shared" si="0"/>
        <v>0</v>
      </c>
      <c r="G33" s="106">
        <f t="shared" si="1"/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s="4" customFormat="1" ht="19.5" thickBot="1" x14ac:dyDescent="0.35">
      <c r="A34" s="253">
        <v>270</v>
      </c>
      <c r="B34" s="59" t="s">
        <v>207</v>
      </c>
      <c r="C34" s="106">
        <v>0</v>
      </c>
      <c r="D34" s="281"/>
      <c r="E34" s="106"/>
      <c r="F34" s="106">
        <f t="shared" si="0"/>
        <v>0</v>
      </c>
      <c r="G34" s="106">
        <f t="shared" si="1"/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s="4" customFormat="1" ht="19.5" thickBot="1" x14ac:dyDescent="0.35">
      <c r="A35" s="253">
        <v>290</v>
      </c>
      <c r="B35" s="59" t="s">
        <v>208</v>
      </c>
      <c r="C35" s="106">
        <v>177</v>
      </c>
      <c r="D35" s="281">
        <v>9060</v>
      </c>
      <c r="E35" s="106">
        <f>IF(ISBLANK(D35),,C35)</f>
        <v>177</v>
      </c>
      <c r="F35" s="106">
        <f t="shared" si="0"/>
        <v>0</v>
      </c>
      <c r="G35" s="106">
        <f t="shared" si="1"/>
        <v>0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s="4" customFormat="1" ht="19.5" thickBot="1" x14ac:dyDescent="0.35">
      <c r="A36" s="253">
        <v>310</v>
      </c>
      <c r="B36" s="59" t="s">
        <v>209</v>
      </c>
      <c r="C36" s="106">
        <v>1299</v>
      </c>
      <c r="D36" s="281">
        <v>9075</v>
      </c>
      <c r="E36" s="106">
        <f>IF(ISBLANK(D36),,C36)</f>
        <v>1299</v>
      </c>
      <c r="F36" s="106">
        <f t="shared" si="0"/>
        <v>0</v>
      </c>
      <c r="G36" s="106">
        <f t="shared" si="1"/>
        <v>0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s="4" customFormat="1" ht="19.5" thickBot="1" x14ac:dyDescent="0.35">
      <c r="A37" s="253">
        <v>470</v>
      </c>
      <c r="B37" s="59" t="s">
        <v>210</v>
      </c>
      <c r="C37" s="106">
        <v>253291</v>
      </c>
      <c r="D37" s="281"/>
      <c r="E37" s="106"/>
      <c r="F37" s="106">
        <f t="shared" si="0"/>
        <v>253291</v>
      </c>
      <c r="G37" s="106">
        <f t="shared" si="1"/>
        <v>0</v>
      </c>
      <c r="I37" s="99"/>
      <c r="J37" s="99"/>
      <c r="K37" s="99"/>
      <c r="L37" s="99"/>
      <c r="M37" s="99"/>
      <c r="N37" s="99"/>
      <c r="O37" s="99"/>
      <c r="P37" s="99">
        <v>111438</v>
      </c>
      <c r="Q37" s="99"/>
      <c r="R37" s="99"/>
      <c r="S37" s="99"/>
      <c r="T37" s="99"/>
      <c r="U37" s="99"/>
      <c r="V37" s="99"/>
      <c r="W37" s="99">
        <v>130691</v>
      </c>
      <c r="X37" s="99"/>
      <c r="Y37" s="99"/>
      <c r="Z37" s="99"/>
      <c r="AA37" s="99"/>
      <c r="AB37" s="99">
        <v>11162</v>
      </c>
      <c r="AC37" s="99"/>
      <c r="AD37" s="99"/>
      <c r="AE37" s="99"/>
      <c r="AF37" s="99"/>
      <c r="AG37" s="99"/>
      <c r="AH37" s="99"/>
    </row>
    <row r="38" spans="1:34" s="4" customFormat="1" ht="19.5" thickBot="1" x14ac:dyDescent="0.35">
      <c r="A38" s="253">
        <v>480</v>
      </c>
      <c r="B38" s="59" t="s">
        <v>211</v>
      </c>
      <c r="C38" s="106">
        <v>170967</v>
      </c>
      <c r="D38" s="281"/>
      <c r="E38" s="106"/>
      <c r="F38" s="106">
        <f t="shared" si="0"/>
        <v>170967</v>
      </c>
      <c r="G38" s="106">
        <f t="shared" si="1"/>
        <v>0</v>
      </c>
      <c r="I38" s="99"/>
      <c r="J38" s="99"/>
      <c r="K38" s="99"/>
      <c r="L38" s="99"/>
      <c r="M38" s="99"/>
      <c r="N38" s="99"/>
      <c r="O38" s="99"/>
      <c r="P38" s="99"/>
      <c r="Q38" s="99">
        <v>4166</v>
      </c>
      <c r="R38" s="99">
        <v>16892</v>
      </c>
      <c r="S38" s="99">
        <v>25041</v>
      </c>
      <c r="T38" s="99">
        <v>22242</v>
      </c>
      <c r="U38" s="99">
        <v>13800</v>
      </c>
      <c r="V38" s="99">
        <v>21852</v>
      </c>
      <c r="W38" s="99"/>
      <c r="X38" s="99">
        <v>26839</v>
      </c>
      <c r="Y38" s="99">
        <v>18447</v>
      </c>
      <c r="Z38" s="99">
        <v>14758</v>
      </c>
      <c r="AA38" s="99">
        <v>6930</v>
      </c>
      <c r="AB38" s="99"/>
      <c r="AC38" s="99"/>
      <c r="AD38" s="99"/>
      <c r="AE38" s="99"/>
      <c r="AF38" s="99"/>
      <c r="AG38" s="99"/>
      <c r="AH38" s="99"/>
    </row>
    <row r="39" spans="1:34" s="4" customFormat="1" ht="19.5" thickBot="1" x14ac:dyDescent="0.35">
      <c r="A39" s="253">
        <v>490</v>
      </c>
      <c r="B39" s="59" t="s">
        <v>416</v>
      </c>
      <c r="C39" s="106">
        <v>0</v>
      </c>
      <c r="D39" s="281"/>
      <c r="E39" s="106"/>
      <c r="F39" s="106">
        <f t="shared" si="0"/>
        <v>0</v>
      </c>
      <c r="G39" s="106">
        <f t="shared" si="1"/>
        <v>0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</row>
    <row r="40" spans="1:34" s="4" customFormat="1" ht="19.5" thickBot="1" x14ac:dyDescent="0.35">
      <c r="A40" s="253">
        <v>500</v>
      </c>
      <c r="B40" s="59" t="s">
        <v>213</v>
      </c>
      <c r="C40" s="106">
        <v>1181</v>
      </c>
      <c r="D40" s="281">
        <v>9055</v>
      </c>
      <c r="E40" s="106">
        <f>IF(ISBLANK(D40),,C40)</f>
        <v>1181</v>
      </c>
      <c r="F40" s="106">
        <f t="shared" si="0"/>
        <v>0</v>
      </c>
      <c r="G40" s="106">
        <f t="shared" si="1"/>
        <v>0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</row>
    <row r="41" spans="1:34" s="4" customFormat="1" ht="19.5" thickBot="1" x14ac:dyDescent="0.35">
      <c r="A41" s="253">
        <v>510</v>
      </c>
      <c r="B41" s="59" t="s">
        <v>214</v>
      </c>
      <c r="C41" s="106">
        <v>0</v>
      </c>
      <c r="D41" s="281"/>
      <c r="E41" s="106"/>
      <c r="F41" s="106">
        <f t="shared" si="0"/>
        <v>0</v>
      </c>
      <c r="G41" s="106">
        <f t="shared" si="1"/>
        <v>0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</row>
    <row r="42" spans="1:34" s="4" customFormat="1" ht="19.5" thickBot="1" x14ac:dyDescent="0.35">
      <c r="A42" s="253">
        <v>520</v>
      </c>
      <c r="B42" s="59" t="s">
        <v>215</v>
      </c>
      <c r="C42" s="106">
        <v>1417</v>
      </c>
      <c r="D42" s="281">
        <v>9025</v>
      </c>
      <c r="E42" s="106">
        <f>IF(ISBLANK(D42),,C42)</f>
        <v>1417</v>
      </c>
      <c r="F42" s="106">
        <f t="shared" si="0"/>
        <v>0</v>
      </c>
      <c r="G42" s="106">
        <f t="shared" si="1"/>
        <v>0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</row>
    <row r="43" spans="1:34" s="4" customFormat="1" ht="19.5" thickBot="1" x14ac:dyDescent="0.35">
      <c r="A43" s="253">
        <v>540</v>
      </c>
      <c r="B43" s="59" t="s">
        <v>417</v>
      </c>
      <c r="C43" s="106">
        <v>0</v>
      </c>
      <c r="D43" s="281"/>
      <c r="E43" s="106"/>
      <c r="F43" s="106">
        <f t="shared" si="0"/>
        <v>0</v>
      </c>
      <c r="G43" s="106">
        <f t="shared" si="1"/>
        <v>0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</row>
    <row r="44" spans="1:34" s="4" customFormat="1" ht="19.5" thickBot="1" x14ac:dyDescent="0.35">
      <c r="A44" s="253">
        <v>550</v>
      </c>
      <c r="B44" s="59" t="s">
        <v>217</v>
      </c>
      <c r="C44" s="106">
        <v>0</v>
      </c>
      <c r="D44" s="281"/>
      <c r="E44" s="106"/>
      <c r="F44" s="106">
        <f t="shared" si="0"/>
        <v>0</v>
      </c>
      <c r="G44" s="106">
        <f t="shared" si="1"/>
        <v>0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</row>
    <row r="45" spans="1:34" s="4" customFormat="1" ht="19.5" thickBot="1" x14ac:dyDescent="0.35">
      <c r="A45" s="253">
        <v>560</v>
      </c>
      <c r="B45" s="59" t="s">
        <v>218</v>
      </c>
      <c r="C45" s="106">
        <v>59</v>
      </c>
      <c r="D45" s="281">
        <v>9055</v>
      </c>
      <c r="E45" s="106">
        <f>IF(ISBLANK(D45),,C45)</f>
        <v>59</v>
      </c>
      <c r="F45" s="106">
        <f t="shared" ref="F45:F76" si="2">SUM(I45:AH45)</f>
        <v>0</v>
      </c>
      <c r="G45" s="106">
        <f t="shared" ref="G45:G76" si="3">IF(ISBLANK(E45),C45-F45,C45-E45)</f>
        <v>0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</row>
    <row r="46" spans="1:34" s="4" customFormat="1" ht="19.5" thickBot="1" x14ac:dyDescent="0.35">
      <c r="A46" s="253">
        <v>580</v>
      </c>
      <c r="B46" s="59" t="s">
        <v>219</v>
      </c>
      <c r="C46" s="106">
        <v>1595</v>
      </c>
      <c r="D46" s="281">
        <v>9055</v>
      </c>
      <c r="E46" s="106">
        <f>IF(ISBLANK(D46),,C46)</f>
        <v>1595</v>
      </c>
      <c r="F46" s="106">
        <f t="shared" si="2"/>
        <v>0</v>
      </c>
      <c r="G46" s="106">
        <f t="shared" si="3"/>
        <v>0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</row>
    <row r="47" spans="1:34" s="4" customFormat="1" ht="19.5" thickBot="1" x14ac:dyDescent="0.35">
      <c r="A47" s="253">
        <v>640</v>
      </c>
      <c r="B47" s="61" t="s">
        <v>220</v>
      </c>
      <c r="C47" s="106">
        <v>1004</v>
      </c>
      <c r="D47" s="281">
        <v>9055</v>
      </c>
      <c r="E47" s="106">
        <f>IF(ISBLANK(D47),,C47)</f>
        <v>1004</v>
      </c>
      <c r="F47" s="106">
        <f t="shared" si="2"/>
        <v>0</v>
      </c>
      <c r="G47" s="106">
        <f t="shared" si="3"/>
        <v>0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</row>
    <row r="48" spans="1:34" s="4" customFormat="1" ht="19.5" thickBot="1" x14ac:dyDescent="0.35">
      <c r="A48" s="253">
        <v>740</v>
      </c>
      <c r="B48" s="59" t="s">
        <v>221</v>
      </c>
      <c r="C48" s="106">
        <v>2776</v>
      </c>
      <c r="D48" s="281">
        <v>9055</v>
      </c>
      <c r="E48" s="106">
        <f>IF(ISBLANK(D48),,C48)</f>
        <v>2776</v>
      </c>
      <c r="F48" s="106">
        <f t="shared" si="2"/>
        <v>0</v>
      </c>
      <c r="G48" s="106">
        <f t="shared" si="3"/>
        <v>0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</row>
    <row r="49" spans="1:34" s="4" customFormat="1" ht="19.5" thickBot="1" x14ac:dyDescent="0.35">
      <c r="A49" s="253">
        <v>770</v>
      </c>
      <c r="B49" s="59" t="s">
        <v>222</v>
      </c>
      <c r="C49" s="106">
        <v>118</v>
      </c>
      <c r="D49" s="281">
        <v>9060</v>
      </c>
      <c r="E49" s="106">
        <f>IF(ISBLANK(D49),,C49)</f>
        <v>118</v>
      </c>
      <c r="F49" s="106">
        <f t="shared" si="2"/>
        <v>0</v>
      </c>
      <c r="G49" s="106">
        <f t="shared" si="3"/>
        <v>0</v>
      </c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</row>
    <row r="50" spans="1:34" s="4" customFormat="1" ht="19.5" thickBot="1" x14ac:dyDescent="0.35">
      <c r="A50" s="253">
        <v>860</v>
      </c>
      <c r="B50" s="59" t="s">
        <v>223</v>
      </c>
      <c r="C50" s="106">
        <v>0</v>
      </c>
      <c r="D50" s="281"/>
      <c r="E50" s="106"/>
      <c r="F50" s="106">
        <f t="shared" si="2"/>
        <v>0</v>
      </c>
      <c r="G50" s="106">
        <f t="shared" si="3"/>
        <v>0</v>
      </c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</row>
    <row r="51" spans="1:34" s="4" customFormat="1" ht="19.5" thickBot="1" x14ac:dyDescent="0.35">
      <c r="A51" s="253">
        <v>870</v>
      </c>
      <c r="B51" s="59" t="s">
        <v>224</v>
      </c>
      <c r="C51" s="106">
        <v>25276</v>
      </c>
      <c r="D51" s="281"/>
      <c r="E51" s="106"/>
      <c r="F51" s="106">
        <f t="shared" si="2"/>
        <v>25276</v>
      </c>
      <c r="G51" s="106">
        <f t="shared" si="3"/>
        <v>0</v>
      </c>
      <c r="I51" s="99"/>
      <c r="J51" s="99"/>
      <c r="K51" s="99"/>
      <c r="L51" s="99">
        <v>2660</v>
      </c>
      <c r="M51" s="99"/>
      <c r="N51" s="99">
        <v>3776</v>
      </c>
      <c r="O51" s="99">
        <v>1899</v>
      </c>
      <c r="P51" s="99">
        <v>1930</v>
      </c>
      <c r="Q51" s="99">
        <v>1899</v>
      </c>
      <c r="R51" s="99">
        <v>1898</v>
      </c>
      <c r="S51" s="99">
        <v>2056</v>
      </c>
      <c r="T51" s="99">
        <v>5093</v>
      </c>
      <c r="U51" s="99"/>
      <c r="V51" s="99"/>
      <c r="W51" s="99"/>
      <c r="X51" s="99">
        <v>4065</v>
      </c>
      <c r="Y51" s="99"/>
      <c r="Z51" s="99"/>
      <c r="AA51" s="99"/>
      <c r="AB51" s="99"/>
      <c r="AC51" s="99"/>
      <c r="AD51" s="99"/>
      <c r="AE51" s="99"/>
      <c r="AF51" s="99"/>
      <c r="AG51" s="99"/>
      <c r="AH51" s="99"/>
    </row>
    <row r="52" spans="1:34" s="4" customFormat="1" ht="19.5" thickBot="1" x14ac:dyDescent="0.35">
      <c r="A52" s="253">
        <v>880</v>
      </c>
      <c r="B52" s="59" t="s">
        <v>225</v>
      </c>
      <c r="C52" s="106">
        <v>1816499</v>
      </c>
      <c r="D52" s="281"/>
      <c r="E52" s="106"/>
      <c r="F52" s="106">
        <f t="shared" si="2"/>
        <v>1816499</v>
      </c>
      <c r="G52" s="106">
        <f t="shared" si="3"/>
        <v>0</v>
      </c>
      <c r="I52" s="99"/>
      <c r="J52" s="99"/>
      <c r="K52" s="99"/>
      <c r="L52" s="99"/>
      <c r="M52" s="99"/>
      <c r="N52" s="99"/>
      <c r="O52" s="99"/>
      <c r="P52" s="99"/>
      <c r="Q52" s="99">
        <v>18458</v>
      </c>
      <c r="R52" s="99"/>
      <c r="S52" s="99"/>
      <c r="T52" s="99"/>
      <c r="U52" s="99">
        <v>1226218</v>
      </c>
      <c r="V52" s="99">
        <v>159228</v>
      </c>
      <c r="W52" s="99"/>
      <c r="X52" s="99">
        <v>72081</v>
      </c>
      <c r="Y52" s="99">
        <v>264604</v>
      </c>
      <c r="Z52" s="99"/>
      <c r="AA52" s="99">
        <v>75910</v>
      </c>
      <c r="AB52" s="99"/>
      <c r="AC52" s="99"/>
      <c r="AD52" s="99"/>
      <c r="AE52" s="99"/>
      <c r="AF52" s="99"/>
      <c r="AG52" s="99"/>
      <c r="AH52" s="99"/>
    </row>
    <row r="53" spans="1:34" s="4" customFormat="1" ht="19.5" thickBot="1" x14ac:dyDescent="0.35">
      <c r="A53" s="253">
        <v>890</v>
      </c>
      <c r="B53" s="59" t="s">
        <v>226</v>
      </c>
      <c r="C53" s="106">
        <v>0</v>
      </c>
      <c r="D53" s="281"/>
      <c r="E53" s="106"/>
      <c r="F53" s="106">
        <f t="shared" si="2"/>
        <v>0</v>
      </c>
      <c r="G53" s="106">
        <f t="shared" si="3"/>
        <v>0</v>
      </c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</row>
    <row r="54" spans="1:34" s="4" customFormat="1" ht="19.5" thickBot="1" x14ac:dyDescent="0.35">
      <c r="A54" s="253">
        <v>900</v>
      </c>
      <c r="B54" s="59" t="s">
        <v>227</v>
      </c>
      <c r="C54" s="106">
        <f>146045+(SUMIF(D13:D192,"0900",E13:E192))</f>
        <v>148939</v>
      </c>
      <c r="D54" s="281"/>
      <c r="E54" s="106"/>
      <c r="F54" s="106">
        <f t="shared" si="2"/>
        <v>148939</v>
      </c>
      <c r="G54" s="106">
        <f t="shared" si="3"/>
        <v>0</v>
      </c>
      <c r="I54" s="99"/>
      <c r="J54" s="99"/>
      <c r="K54" s="99"/>
      <c r="L54" s="99"/>
      <c r="M54" s="99"/>
      <c r="N54" s="99">
        <v>3142</v>
      </c>
      <c r="O54" s="99">
        <v>51965</v>
      </c>
      <c r="P54" s="99">
        <v>5700</v>
      </c>
      <c r="Q54" s="99"/>
      <c r="R54" s="99">
        <v>379</v>
      </c>
      <c r="S54" s="99">
        <v>7174</v>
      </c>
      <c r="T54" s="99">
        <v>65092</v>
      </c>
      <c r="U54" s="99"/>
      <c r="V54" s="99"/>
      <c r="W54" s="99"/>
      <c r="X54" s="99">
        <v>6972</v>
      </c>
      <c r="Y54" s="99">
        <v>1340</v>
      </c>
      <c r="Z54" s="99">
        <v>7175</v>
      </c>
      <c r="AA54" s="99"/>
      <c r="AB54" s="99"/>
      <c r="AC54" s="99"/>
      <c r="AD54" s="99"/>
      <c r="AE54" s="99"/>
      <c r="AF54" s="99"/>
      <c r="AG54" s="99"/>
      <c r="AH54" s="99"/>
    </row>
    <row r="55" spans="1:34" s="4" customFormat="1" ht="19.5" thickBot="1" x14ac:dyDescent="0.35">
      <c r="A55" s="253">
        <v>910</v>
      </c>
      <c r="B55" s="59" t="s">
        <v>228</v>
      </c>
      <c r="C55" s="106">
        <v>132049</v>
      </c>
      <c r="D55" s="281"/>
      <c r="E55" s="106"/>
      <c r="F55" s="106">
        <f t="shared" si="2"/>
        <v>132049</v>
      </c>
      <c r="G55" s="106">
        <f t="shared" si="3"/>
        <v>0</v>
      </c>
      <c r="I55" s="99"/>
      <c r="J55" s="99"/>
      <c r="K55" s="99"/>
      <c r="L55" s="99"/>
      <c r="M55" s="99"/>
      <c r="N55" s="99"/>
      <c r="O55" s="99"/>
      <c r="P55" s="99"/>
      <c r="Q55" s="99"/>
      <c r="R55" s="99">
        <v>91228</v>
      </c>
      <c r="S55" s="99">
        <v>40821</v>
      </c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</row>
    <row r="56" spans="1:34" s="4" customFormat="1" ht="19.5" thickBot="1" x14ac:dyDescent="0.35">
      <c r="A56" s="253">
        <v>920</v>
      </c>
      <c r="B56" s="268" t="s">
        <v>229</v>
      </c>
      <c r="C56" s="106">
        <v>2894</v>
      </c>
      <c r="D56" s="281">
        <v>900</v>
      </c>
      <c r="E56" s="106">
        <f>IF(ISBLANK(D56),,C56)</f>
        <v>2894</v>
      </c>
      <c r="F56" s="106">
        <f t="shared" si="2"/>
        <v>0</v>
      </c>
      <c r="G56" s="106">
        <f t="shared" si="3"/>
        <v>0</v>
      </c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</row>
    <row r="57" spans="1:34" s="4" customFormat="1" ht="19.5" thickBot="1" x14ac:dyDescent="0.35">
      <c r="A57" s="253">
        <v>930</v>
      </c>
      <c r="B57" s="59" t="s">
        <v>230</v>
      </c>
      <c r="C57" s="106">
        <v>591</v>
      </c>
      <c r="D57" s="281">
        <v>9025</v>
      </c>
      <c r="E57" s="106">
        <f>IF(ISBLANK(D57),,C57)</f>
        <v>591</v>
      </c>
      <c r="F57" s="106">
        <f t="shared" si="2"/>
        <v>0</v>
      </c>
      <c r="G57" s="106">
        <f t="shared" si="3"/>
        <v>0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</row>
    <row r="58" spans="1:34" s="4" customFormat="1" ht="19.5" thickBot="1" x14ac:dyDescent="0.35">
      <c r="A58" s="253">
        <v>940</v>
      </c>
      <c r="B58" s="59" t="s">
        <v>231</v>
      </c>
      <c r="C58" s="106">
        <v>0</v>
      </c>
      <c r="D58" s="281"/>
      <c r="E58" s="106"/>
      <c r="F58" s="106">
        <f t="shared" si="2"/>
        <v>0</v>
      </c>
      <c r="G58" s="106">
        <f t="shared" si="3"/>
        <v>0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</row>
    <row r="59" spans="1:34" s="4" customFormat="1" ht="19.5" thickBot="1" x14ac:dyDescent="0.35">
      <c r="A59" s="253">
        <v>950</v>
      </c>
      <c r="B59" s="59" t="s">
        <v>492</v>
      </c>
      <c r="C59" s="106">
        <v>0</v>
      </c>
      <c r="D59" s="281"/>
      <c r="E59" s="106"/>
      <c r="F59" s="106">
        <f t="shared" si="2"/>
        <v>0</v>
      </c>
      <c r="G59" s="106">
        <f t="shared" si="3"/>
        <v>0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</row>
    <row r="60" spans="1:34" s="4" customFormat="1" ht="19.5" thickBot="1" x14ac:dyDescent="0.35">
      <c r="A60" s="253">
        <v>960</v>
      </c>
      <c r="B60" s="59" t="s">
        <v>233</v>
      </c>
      <c r="C60" s="106">
        <v>0</v>
      </c>
      <c r="D60" s="281"/>
      <c r="E60" s="106"/>
      <c r="F60" s="106">
        <f t="shared" si="2"/>
        <v>0</v>
      </c>
      <c r="G60" s="106">
        <f t="shared" si="3"/>
        <v>0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</row>
    <row r="61" spans="1:34" s="4" customFormat="1" ht="19.5" thickBot="1" x14ac:dyDescent="0.35">
      <c r="A61" s="253">
        <v>970</v>
      </c>
      <c r="B61" s="59" t="s">
        <v>418</v>
      </c>
      <c r="C61" s="106">
        <v>0</v>
      </c>
      <c r="D61" s="281"/>
      <c r="E61" s="106"/>
      <c r="F61" s="106">
        <f t="shared" si="2"/>
        <v>0</v>
      </c>
      <c r="G61" s="106">
        <f t="shared" si="3"/>
        <v>0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</row>
    <row r="62" spans="1:34" s="4" customFormat="1" ht="19.5" thickBot="1" x14ac:dyDescent="0.35">
      <c r="A62" s="253">
        <v>980</v>
      </c>
      <c r="B62" s="59" t="s">
        <v>235</v>
      </c>
      <c r="C62" s="106">
        <v>116163</v>
      </c>
      <c r="D62" s="281"/>
      <c r="E62" s="106"/>
      <c r="F62" s="106">
        <f t="shared" si="2"/>
        <v>116163</v>
      </c>
      <c r="G62" s="106">
        <f t="shared" si="3"/>
        <v>0</v>
      </c>
      <c r="I62" s="99"/>
      <c r="J62" s="99"/>
      <c r="K62" s="99"/>
      <c r="L62" s="99"/>
      <c r="M62" s="99">
        <v>1807</v>
      </c>
      <c r="N62" s="99">
        <v>8584</v>
      </c>
      <c r="O62" s="99">
        <v>8720</v>
      </c>
      <c r="P62" s="99">
        <v>9322</v>
      </c>
      <c r="Q62" s="99">
        <v>13630</v>
      </c>
      <c r="R62" s="99">
        <v>16735</v>
      </c>
      <c r="S62" s="99">
        <f>9275+12164</f>
        <v>21439</v>
      </c>
      <c r="T62" s="99"/>
      <c r="U62" s="99">
        <v>3833</v>
      </c>
      <c r="V62" s="99">
        <v>3028</v>
      </c>
      <c r="W62" s="99"/>
      <c r="X62" s="99">
        <v>9338</v>
      </c>
      <c r="Y62" s="99">
        <v>5970</v>
      </c>
      <c r="Z62" s="99">
        <v>5969</v>
      </c>
      <c r="AA62" s="99">
        <v>6015</v>
      </c>
      <c r="AB62" s="99">
        <v>1773</v>
      </c>
      <c r="AC62" s="99"/>
      <c r="AD62" s="99"/>
      <c r="AE62" s="99"/>
      <c r="AF62" s="99"/>
      <c r="AG62" s="99"/>
      <c r="AH62" s="99"/>
    </row>
    <row r="63" spans="1:34" s="4" customFormat="1" ht="19.5" thickBot="1" x14ac:dyDescent="0.35">
      <c r="A63" s="253">
        <v>990</v>
      </c>
      <c r="B63" s="59" t="s">
        <v>236</v>
      </c>
      <c r="C63" s="106">
        <v>12697</v>
      </c>
      <c r="D63" s="281"/>
      <c r="E63" s="106"/>
      <c r="F63" s="106">
        <f t="shared" si="2"/>
        <v>2097</v>
      </c>
      <c r="G63" s="106">
        <f t="shared" si="3"/>
        <v>10600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>
        <v>83</v>
      </c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>
        <v>2014</v>
      </c>
    </row>
    <row r="64" spans="1:34" s="4" customFormat="1" ht="19.5" thickBot="1" x14ac:dyDescent="0.35">
      <c r="A64" s="253">
        <v>1000</v>
      </c>
      <c r="B64" s="59" t="s">
        <v>237</v>
      </c>
      <c r="C64" s="106">
        <v>22914</v>
      </c>
      <c r="D64" s="281"/>
      <c r="E64" s="106"/>
      <c r="F64" s="106">
        <f t="shared" si="2"/>
        <v>22914</v>
      </c>
      <c r="G64" s="106">
        <f t="shared" si="3"/>
        <v>0</v>
      </c>
      <c r="I64" s="99"/>
      <c r="J64" s="99"/>
      <c r="K64" s="99"/>
      <c r="L64" s="99">
        <v>10415</v>
      </c>
      <c r="M64" s="99">
        <v>2225</v>
      </c>
      <c r="N64" s="99">
        <v>2246</v>
      </c>
      <c r="O64" s="99">
        <v>2221</v>
      </c>
      <c r="P64" s="99">
        <v>2240</v>
      </c>
      <c r="Q64" s="99">
        <v>2390</v>
      </c>
      <c r="R64" s="99"/>
      <c r="S64" s="99">
        <v>1177</v>
      </c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</row>
    <row r="65" spans="1:34" s="4" customFormat="1" ht="19.5" thickBot="1" x14ac:dyDescent="0.35">
      <c r="A65" s="253">
        <v>1010</v>
      </c>
      <c r="B65" s="59" t="s">
        <v>238</v>
      </c>
      <c r="C65" s="106">
        <v>168368</v>
      </c>
      <c r="D65" s="281"/>
      <c r="E65" s="106"/>
      <c r="F65" s="106">
        <f t="shared" si="2"/>
        <v>168368</v>
      </c>
      <c r="G65" s="106">
        <f t="shared" si="3"/>
        <v>0</v>
      </c>
      <c r="I65" s="99"/>
      <c r="J65" s="99"/>
      <c r="K65" s="99"/>
      <c r="L65" s="99">
        <v>43410</v>
      </c>
      <c r="M65" s="99"/>
      <c r="N65" s="99">
        <v>21362</v>
      </c>
      <c r="O65" s="99">
        <v>3741</v>
      </c>
      <c r="P65" s="99"/>
      <c r="Q65" s="99"/>
      <c r="R65" s="99">
        <v>5672</v>
      </c>
      <c r="S65" s="99">
        <f>18688+12201</f>
        <v>30889</v>
      </c>
      <c r="T65" s="99"/>
      <c r="U65" s="99">
        <v>422</v>
      </c>
      <c r="V65" s="99"/>
      <c r="W65" s="99"/>
      <c r="X65" s="99">
        <v>58196</v>
      </c>
      <c r="Y65" s="99">
        <v>4633</v>
      </c>
      <c r="Z65" s="99">
        <v>43</v>
      </c>
      <c r="AA65" s="99"/>
      <c r="AB65" s="99"/>
      <c r="AC65" s="99"/>
      <c r="AD65" s="99"/>
      <c r="AE65" s="99"/>
      <c r="AF65" s="99"/>
      <c r="AG65" s="99"/>
      <c r="AH65" s="99"/>
    </row>
    <row r="66" spans="1:34" s="4" customFormat="1" ht="19.5" thickBot="1" x14ac:dyDescent="0.35">
      <c r="A66" s="253">
        <v>1020</v>
      </c>
      <c r="B66" s="59" t="s">
        <v>239</v>
      </c>
      <c r="C66" s="106">
        <f>8740+(SUMIF(D13:D192,"1020",E13:E192))</f>
        <v>10689</v>
      </c>
      <c r="D66" s="281"/>
      <c r="E66" s="106"/>
      <c r="F66" s="106">
        <f t="shared" si="2"/>
        <v>10689</v>
      </c>
      <c r="G66" s="106">
        <f t="shared" si="3"/>
        <v>0</v>
      </c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>
        <v>8740</v>
      </c>
      <c r="T66" s="99"/>
      <c r="U66" s="99">
        <v>1949</v>
      </c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</row>
    <row r="67" spans="1:34" s="4" customFormat="1" ht="19.5" thickBot="1" x14ac:dyDescent="0.35">
      <c r="A67" s="253">
        <v>1030</v>
      </c>
      <c r="B67" s="59" t="s">
        <v>422</v>
      </c>
      <c r="C67" s="106">
        <v>0</v>
      </c>
      <c r="D67" s="281"/>
      <c r="E67" s="106"/>
      <c r="F67" s="106">
        <f t="shared" si="2"/>
        <v>0</v>
      </c>
      <c r="G67" s="106">
        <f t="shared" si="3"/>
        <v>0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</row>
    <row r="68" spans="1:34" s="4" customFormat="1" ht="19.5" thickBot="1" x14ac:dyDescent="0.35">
      <c r="A68" s="253">
        <v>1040</v>
      </c>
      <c r="B68" s="59" t="s">
        <v>241</v>
      </c>
      <c r="C68" s="106">
        <v>30296</v>
      </c>
      <c r="D68" s="281"/>
      <c r="E68" s="106"/>
      <c r="F68" s="106">
        <f t="shared" si="2"/>
        <v>30296</v>
      </c>
      <c r="G68" s="106">
        <f t="shared" si="3"/>
        <v>0</v>
      </c>
      <c r="I68" s="99"/>
      <c r="J68" s="99"/>
      <c r="K68" s="99"/>
      <c r="L68" s="99"/>
      <c r="M68" s="99"/>
      <c r="N68" s="99"/>
      <c r="O68" s="99">
        <v>12837</v>
      </c>
      <c r="P68" s="99"/>
      <c r="Q68" s="99"/>
      <c r="R68" s="99">
        <v>3990</v>
      </c>
      <c r="S68" s="99">
        <v>4181</v>
      </c>
      <c r="T68" s="99"/>
      <c r="U68" s="99">
        <v>795</v>
      </c>
      <c r="V68" s="99"/>
      <c r="W68" s="99"/>
      <c r="X68" s="99"/>
      <c r="Y68" s="99"/>
      <c r="Z68" s="99">
        <v>8493</v>
      </c>
      <c r="AA68" s="99"/>
      <c r="AB68" s="99"/>
      <c r="AC68" s="99"/>
      <c r="AD68" s="99"/>
      <c r="AE68" s="99"/>
      <c r="AF68" s="99"/>
      <c r="AG68" s="99"/>
      <c r="AH68" s="99"/>
    </row>
    <row r="69" spans="1:34" s="4" customFormat="1" ht="19.5" thickBot="1" x14ac:dyDescent="0.35">
      <c r="A69" s="253">
        <v>1050</v>
      </c>
      <c r="B69" s="59" t="s">
        <v>419</v>
      </c>
      <c r="C69" s="106">
        <v>6437</v>
      </c>
      <c r="D69" s="281">
        <v>9025</v>
      </c>
      <c r="E69" s="106">
        <f>IF(ISBLANK(D69),,C69)</f>
        <v>6437</v>
      </c>
      <c r="F69" s="106">
        <f t="shared" si="2"/>
        <v>0</v>
      </c>
      <c r="G69" s="106">
        <f t="shared" si="3"/>
        <v>0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</row>
    <row r="70" spans="1:34" s="4" customFormat="1" ht="19.5" thickBot="1" x14ac:dyDescent="0.35">
      <c r="A70" s="253">
        <v>1060</v>
      </c>
      <c r="B70" s="59" t="s">
        <v>420</v>
      </c>
      <c r="C70" s="106">
        <v>532</v>
      </c>
      <c r="D70" s="281">
        <v>9060</v>
      </c>
      <c r="E70" s="106">
        <f>IF(ISBLANK(D70),,C70)</f>
        <v>532</v>
      </c>
      <c r="F70" s="106">
        <f t="shared" si="2"/>
        <v>0</v>
      </c>
      <c r="G70" s="106">
        <f t="shared" si="3"/>
        <v>0</v>
      </c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</row>
    <row r="71" spans="1:34" s="4" customFormat="1" ht="19.5" thickBot="1" x14ac:dyDescent="0.35">
      <c r="A71" s="253">
        <v>1070</v>
      </c>
      <c r="B71" s="59" t="s">
        <v>421</v>
      </c>
      <c r="C71" s="106">
        <v>1890</v>
      </c>
      <c r="D71" s="281">
        <v>9060</v>
      </c>
      <c r="E71" s="106">
        <f>IF(ISBLANK(D71),,C71)</f>
        <v>1890</v>
      </c>
      <c r="F71" s="106">
        <f t="shared" si="2"/>
        <v>0</v>
      </c>
      <c r="G71" s="106">
        <f t="shared" si="3"/>
        <v>0</v>
      </c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</row>
    <row r="72" spans="1:34" s="4" customFormat="1" ht="19.5" thickBot="1" x14ac:dyDescent="0.35">
      <c r="A72" s="253">
        <v>1080</v>
      </c>
      <c r="B72" s="59" t="s">
        <v>245</v>
      </c>
      <c r="C72" s="106">
        <v>16240</v>
      </c>
      <c r="D72" s="281"/>
      <c r="E72" s="106"/>
      <c r="F72" s="106">
        <f t="shared" si="2"/>
        <v>16240</v>
      </c>
      <c r="G72" s="106">
        <f t="shared" si="3"/>
        <v>0</v>
      </c>
      <c r="I72" s="99"/>
      <c r="J72" s="99"/>
      <c r="K72" s="99"/>
      <c r="L72" s="99"/>
      <c r="M72" s="99"/>
      <c r="N72" s="99"/>
      <c r="O72" s="99">
        <v>4452</v>
      </c>
      <c r="P72" s="99">
        <v>2329</v>
      </c>
      <c r="Q72" s="99">
        <v>1236</v>
      </c>
      <c r="R72" s="99">
        <v>1694</v>
      </c>
      <c r="S72" s="99">
        <v>3904</v>
      </c>
      <c r="T72" s="99"/>
      <c r="U72" s="99"/>
      <c r="V72" s="99"/>
      <c r="W72" s="99"/>
      <c r="X72" s="99"/>
      <c r="Y72" s="99"/>
      <c r="Z72" s="99">
        <v>2625</v>
      </c>
      <c r="AA72" s="99"/>
      <c r="AB72" s="99"/>
      <c r="AC72" s="99"/>
      <c r="AD72" s="99"/>
      <c r="AE72" s="99"/>
      <c r="AF72" s="99"/>
      <c r="AG72" s="99"/>
      <c r="AH72" s="99"/>
    </row>
    <row r="73" spans="1:34" s="4" customFormat="1" ht="19.5" thickBot="1" x14ac:dyDescent="0.35">
      <c r="A73" s="253">
        <v>1110</v>
      </c>
      <c r="B73" s="59" t="s">
        <v>246</v>
      </c>
      <c r="C73" s="106">
        <v>32481</v>
      </c>
      <c r="D73" s="281"/>
      <c r="E73" s="106"/>
      <c r="F73" s="106">
        <f t="shared" si="2"/>
        <v>32481</v>
      </c>
      <c r="G73" s="106">
        <f t="shared" si="3"/>
        <v>0</v>
      </c>
      <c r="I73" s="99"/>
      <c r="J73" s="99"/>
      <c r="K73" s="99"/>
      <c r="L73" s="99"/>
      <c r="M73" s="99"/>
      <c r="N73" s="99"/>
      <c r="O73" s="99">
        <v>18531</v>
      </c>
      <c r="P73" s="99"/>
      <c r="Q73" s="99"/>
      <c r="R73" s="99">
        <v>2300</v>
      </c>
      <c r="S73" s="99">
        <v>5410</v>
      </c>
      <c r="T73" s="99"/>
      <c r="U73" s="99">
        <v>4371</v>
      </c>
      <c r="V73" s="99"/>
      <c r="W73" s="99"/>
      <c r="X73" s="99">
        <v>614</v>
      </c>
      <c r="Y73" s="99">
        <v>1255</v>
      </c>
      <c r="Z73" s="99"/>
      <c r="AA73" s="99"/>
      <c r="AB73" s="99"/>
      <c r="AC73" s="99"/>
      <c r="AD73" s="99"/>
      <c r="AE73" s="99"/>
      <c r="AF73" s="99"/>
      <c r="AG73" s="99"/>
      <c r="AH73" s="99"/>
    </row>
    <row r="74" spans="1:34" s="4" customFormat="1" ht="19.5" thickBot="1" x14ac:dyDescent="0.35">
      <c r="A74" s="253">
        <v>1120</v>
      </c>
      <c r="B74" s="59" t="s">
        <v>423</v>
      </c>
      <c r="C74" s="106">
        <v>0</v>
      </c>
      <c r="D74" s="281"/>
      <c r="E74" s="106"/>
      <c r="F74" s="106">
        <f t="shared" si="2"/>
        <v>0</v>
      </c>
      <c r="G74" s="106">
        <f t="shared" si="3"/>
        <v>0</v>
      </c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</row>
    <row r="75" spans="1:34" s="4" customFormat="1" ht="19.5" thickBot="1" x14ac:dyDescent="0.35">
      <c r="A75" s="253">
        <v>1130</v>
      </c>
      <c r="B75" s="59" t="s">
        <v>493</v>
      </c>
      <c r="C75" s="106">
        <v>0</v>
      </c>
      <c r="D75" s="281"/>
      <c r="E75" s="106"/>
      <c r="F75" s="106">
        <f t="shared" si="2"/>
        <v>0</v>
      </c>
      <c r="G75" s="106">
        <f t="shared" si="3"/>
        <v>0</v>
      </c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</row>
    <row r="76" spans="1:34" s="4" customFormat="1" ht="19.5" thickBot="1" x14ac:dyDescent="0.35">
      <c r="A76" s="253">
        <v>1140</v>
      </c>
      <c r="B76" s="59" t="s">
        <v>249</v>
      </c>
      <c r="C76" s="106">
        <v>1949</v>
      </c>
      <c r="D76" s="281">
        <v>9060</v>
      </c>
      <c r="E76" s="106">
        <f>IF(ISBLANK(D76),,C76)</f>
        <v>1949</v>
      </c>
      <c r="F76" s="106">
        <f t="shared" si="2"/>
        <v>0</v>
      </c>
      <c r="G76" s="106">
        <f t="shared" si="3"/>
        <v>0</v>
      </c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</row>
    <row r="77" spans="1:34" s="4" customFormat="1" ht="19.5" thickBot="1" x14ac:dyDescent="0.35">
      <c r="A77" s="253">
        <v>1150</v>
      </c>
      <c r="B77" s="59" t="s">
        <v>250</v>
      </c>
      <c r="C77" s="106">
        <v>1358</v>
      </c>
      <c r="D77" s="281">
        <v>9060</v>
      </c>
      <c r="E77" s="106">
        <f>IF(ISBLANK(D77),,C77)</f>
        <v>1358</v>
      </c>
      <c r="F77" s="106">
        <f t="shared" ref="F77:F108" si="4">SUM(I77:AH77)</f>
        <v>0</v>
      </c>
      <c r="G77" s="106">
        <f t="shared" ref="G77:G108" si="5">IF(ISBLANK(E77),C77-F77,C77-E77)</f>
        <v>0</v>
      </c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</row>
    <row r="78" spans="1:34" s="4" customFormat="1" ht="19.5" thickBot="1" x14ac:dyDescent="0.35">
      <c r="A78" s="253">
        <v>1160</v>
      </c>
      <c r="B78" s="59" t="s">
        <v>251</v>
      </c>
      <c r="C78" s="106">
        <v>0</v>
      </c>
      <c r="D78" s="281"/>
      <c r="E78" s="106"/>
      <c r="F78" s="106">
        <f t="shared" si="4"/>
        <v>0</v>
      </c>
      <c r="G78" s="106">
        <f t="shared" si="5"/>
        <v>0</v>
      </c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</row>
    <row r="79" spans="1:34" s="4" customFormat="1" ht="19.5" thickBot="1" x14ac:dyDescent="0.35">
      <c r="A79" s="253">
        <v>1180</v>
      </c>
      <c r="B79" s="59" t="s">
        <v>252</v>
      </c>
      <c r="C79" s="106">
        <v>95139</v>
      </c>
      <c r="D79" s="281"/>
      <c r="E79" s="106"/>
      <c r="F79" s="106">
        <f t="shared" si="4"/>
        <v>95139</v>
      </c>
      <c r="G79" s="106">
        <f t="shared" si="5"/>
        <v>0</v>
      </c>
      <c r="I79" s="99"/>
      <c r="J79" s="99"/>
      <c r="K79" s="99"/>
      <c r="L79" s="99"/>
      <c r="M79" s="99"/>
      <c r="N79" s="99"/>
      <c r="O79" s="99"/>
      <c r="P79" s="99">
        <v>36811</v>
      </c>
      <c r="Q79" s="99"/>
      <c r="R79" s="99"/>
      <c r="S79" s="99"/>
      <c r="T79" s="99"/>
      <c r="U79" s="99"/>
      <c r="V79" s="99"/>
      <c r="W79" s="99">
        <v>56347</v>
      </c>
      <c r="X79" s="99"/>
      <c r="Y79" s="99"/>
      <c r="Z79" s="99">
        <v>1981</v>
      </c>
      <c r="AA79" s="99"/>
      <c r="AB79" s="99"/>
      <c r="AC79" s="99"/>
      <c r="AD79" s="99"/>
      <c r="AE79" s="99"/>
      <c r="AF79" s="99"/>
      <c r="AG79" s="99"/>
      <c r="AH79" s="99"/>
    </row>
    <row r="80" spans="1:34" s="4" customFormat="1" ht="19.5" thickBot="1" x14ac:dyDescent="0.35">
      <c r="A80" s="253">
        <v>1195</v>
      </c>
      <c r="B80" s="59" t="s">
        <v>253</v>
      </c>
      <c r="C80" s="106">
        <v>50729</v>
      </c>
      <c r="D80" s="281"/>
      <c r="E80" s="106"/>
      <c r="F80" s="106">
        <f t="shared" si="4"/>
        <v>50729</v>
      </c>
      <c r="G80" s="106">
        <f t="shared" si="5"/>
        <v>0</v>
      </c>
      <c r="I80" s="99"/>
      <c r="J80" s="99"/>
      <c r="K80" s="99"/>
      <c r="L80" s="99"/>
      <c r="M80" s="99"/>
      <c r="N80" s="99"/>
      <c r="O80" s="99"/>
      <c r="P80" s="99"/>
      <c r="Q80" s="99"/>
      <c r="R80" s="99">
        <v>2649</v>
      </c>
      <c r="S80" s="99">
        <v>5285</v>
      </c>
      <c r="T80" s="99">
        <v>20738</v>
      </c>
      <c r="U80" s="99">
        <v>2586</v>
      </c>
      <c r="V80" s="99">
        <v>19471</v>
      </c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</row>
    <row r="81" spans="1:34" s="4" customFormat="1" ht="19.5" thickBot="1" x14ac:dyDescent="0.35">
      <c r="A81" s="253">
        <v>1220</v>
      </c>
      <c r="B81" s="59" t="s">
        <v>254</v>
      </c>
      <c r="C81" s="106">
        <v>11929</v>
      </c>
      <c r="D81" s="281"/>
      <c r="E81" s="106"/>
      <c r="F81" s="106">
        <f t="shared" si="4"/>
        <v>11929</v>
      </c>
      <c r="G81" s="106">
        <f t="shared" si="5"/>
        <v>0</v>
      </c>
      <c r="I81" s="99"/>
      <c r="J81" s="99"/>
      <c r="K81" s="99"/>
      <c r="L81" s="99"/>
      <c r="M81" s="99"/>
      <c r="N81" s="99"/>
      <c r="O81" s="99"/>
      <c r="P81" s="99"/>
      <c r="Q81" s="99"/>
      <c r="R81" s="99">
        <v>11929</v>
      </c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</row>
    <row r="82" spans="1:34" s="4" customFormat="1" ht="19.5" thickBot="1" x14ac:dyDescent="0.35">
      <c r="A82" s="253">
        <v>1330</v>
      </c>
      <c r="B82" s="59" t="s">
        <v>424</v>
      </c>
      <c r="C82" s="106">
        <v>0</v>
      </c>
      <c r="D82" s="281"/>
      <c r="E82" s="106"/>
      <c r="F82" s="106">
        <f t="shared" si="4"/>
        <v>0</v>
      </c>
      <c r="G82" s="106">
        <f t="shared" si="5"/>
        <v>0</v>
      </c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</row>
    <row r="83" spans="1:34" s="4" customFormat="1" ht="19.5" thickBot="1" x14ac:dyDescent="0.35">
      <c r="A83" s="253">
        <v>1340</v>
      </c>
      <c r="B83" s="59" t="s">
        <v>256</v>
      </c>
      <c r="C83" s="106">
        <v>2658</v>
      </c>
      <c r="D83" s="281">
        <v>9095</v>
      </c>
      <c r="E83" s="106">
        <f>IF(ISBLANK(D83),,C83)</f>
        <v>2658</v>
      </c>
      <c r="F83" s="106">
        <f t="shared" si="4"/>
        <v>0</v>
      </c>
      <c r="G83" s="106">
        <f t="shared" si="5"/>
        <v>0</v>
      </c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</row>
    <row r="84" spans="1:34" s="4" customFormat="1" ht="19.5" thickBot="1" x14ac:dyDescent="0.35">
      <c r="A84" s="253">
        <v>1350</v>
      </c>
      <c r="B84" s="59" t="s">
        <v>257</v>
      </c>
      <c r="C84" s="106">
        <v>6969</v>
      </c>
      <c r="D84" s="281">
        <v>9095</v>
      </c>
      <c r="E84" s="106">
        <f>IF(ISBLANK(D84),,C84)</f>
        <v>6969</v>
      </c>
      <c r="F84" s="106">
        <f t="shared" si="4"/>
        <v>0</v>
      </c>
      <c r="G84" s="291">
        <f t="shared" si="5"/>
        <v>0</v>
      </c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</row>
    <row r="85" spans="1:34" s="4" customFormat="1" ht="19.5" thickBot="1" x14ac:dyDescent="0.35">
      <c r="A85" s="253">
        <v>1360</v>
      </c>
      <c r="B85" s="59" t="s">
        <v>258</v>
      </c>
      <c r="C85" s="106">
        <v>8740</v>
      </c>
      <c r="D85" s="281">
        <v>2180</v>
      </c>
      <c r="E85" s="106">
        <f>IF(ISBLANK(D85),,C85)</f>
        <v>8740</v>
      </c>
      <c r="F85" s="106">
        <f t="shared" si="4"/>
        <v>0</v>
      </c>
      <c r="G85" s="106">
        <f t="shared" si="5"/>
        <v>0</v>
      </c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</row>
    <row r="86" spans="1:34" s="4" customFormat="1" ht="19.5" thickBot="1" x14ac:dyDescent="0.35">
      <c r="A86" s="253">
        <v>1380</v>
      </c>
      <c r="B86" s="59" t="s">
        <v>425</v>
      </c>
      <c r="C86" s="106">
        <v>0</v>
      </c>
      <c r="D86" s="281"/>
      <c r="E86" s="106"/>
      <c r="F86" s="106">
        <f t="shared" si="4"/>
        <v>0</v>
      </c>
      <c r="G86" s="106">
        <f t="shared" si="5"/>
        <v>0</v>
      </c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</row>
    <row r="87" spans="1:34" s="4" customFormat="1" ht="19.5" thickBot="1" x14ac:dyDescent="0.35">
      <c r="A87" s="253">
        <v>1390</v>
      </c>
      <c r="B87" s="268" t="s">
        <v>260</v>
      </c>
      <c r="C87" s="106">
        <v>118</v>
      </c>
      <c r="D87" s="281">
        <v>9060</v>
      </c>
      <c r="E87" s="106">
        <f>IF(ISBLANK(D87),,C87)</f>
        <v>118</v>
      </c>
      <c r="F87" s="106">
        <f t="shared" si="4"/>
        <v>0</v>
      </c>
      <c r="G87" s="106">
        <f t="shared" si="5"/>
        <v>0</v>
      </c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</row>
    <row r="88" spans="1:34" s="4" customFormat="1" ht="19.5" thickBot="1" x14ac:dyDescent="0.35">
      <c r="A88" s="253">
        <v>1400</v>
      </c>
      <c r="B88" s="59" t="s">
        <v>261</v>
      </c>
      <c r="C88" s="106">
        <v>177</v>
      </c>
      <c r="D88" s="281">
        <v>9060</v>
      </c>
      <c r="E88" s="106">
        <f>IF(ISBLANK(D88),,C88)</f>
        <v>177</v>
      </c>
      <c r="F88" s="106">
        <f t="shared" si="4"/>
        <v>0</v>
      </c>
      <c r="G88" s="106">
        <f t="shared" si="5"/>
        <v>0</v>
      </c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</row>
    <row r="89" spans="1:34" s="4" customFormat="1" ht="19.5" thickBot="1" x14ac:dyDescent="0.35">
      <c r="A89" s="253">
        <v>1410</v>
      </c>
      <c r="B89" s="61" t="s">
        <v>262</v>
      </c>
      <c r="C89" s="106">
        <v>1417</v>
      </c>
      <c r="D89" s="281">
        <v>9095</v>
      </c>
      <c r="E89" s="106">
        <f>IF(ISBLANK(D89),,C89)</f>
        <v>1417</v>
      </c>
      <c r="F89" s="106">
        <f t="shared" si="4"/>
        <v>0</v>
      </c>
      <c r="G89" s="106">
        <f t="shared" si="5"/>
        <v>0</v>
      </c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</row>
    <row r="90" spans="1:34" s="4" customFormat="1" ht="19.5" thickBot="1" x14ac:dyDescent="0.35">
      <c r="A90" s="253">
        <v>1420</v>
      </c>
      <c r="B90" s="59" t="s">
        <v>263</v>
      </c>
      <c r="C90" s="106">
        <v>369808</v>
      </c>
      <c r="D90" s="281"/>
      <c r="E90" s="106"/>
      <c r="F90" s="106">
        <f t="shared" si="4"/>
        <v>369808</v>
      </c>
      <c r="G90" s="106">
        <f t="shared" si="5"/>
        <v>0</v>
      </c>
      <c r="I90" s="99"/>
      <c r="J90" s="99"/>
      <c r="K90" s="99"/>
      <c r="L90" s="99"/>
      <c r="M90" s="99"/>
      <c r="N90" s="99">
        <v>2348</v>
      </c>
      <c r="O90" s="99"/>
      <c r="P90" s="99">
        <f>3684+15873</f>
        <v>19557</v>
      </c>
      <c r="Q90" s="99">
        <v>9906</v>
      </c>
      <c r="R90" s="99">
        <v>13782</v>
      </c>
      <c r="S90" s="99">
        <v>119712</v>
      </c>
      <c r="T90" s="99">
        <v>20344</v>
      </c>
      <c r="U90" s="99"/>
      <c r="V90" s="99">
        <v>38722</v>
      </c>
      <c r="W90" s="99"/>
      <c r="X90" s="99">
        <f>121339+24098</f>
        <v>145437</v>
      </c>
      <c r="Y90" s="99"/>
      <c r="Z90" s="99"/>
      <c r="AA90" s="99"/>
      <c r="AB90" s="99"/>
      <c r="AC90" s="99"/>
      <c r="AD90" s="99"/>
      <c r="AE90" s="99"/>
      <c r="AF90" s="99"/>
      <c r="AG90" s="99"/>
      <c r="AH90" s="99"/>
    </row>
    <row r="91" spans="1:34" s="4" customFormat="1" ht="19.5" thickBot="1" x14ac:dyDescent="0.35">
      <c r="A91" s="253">
        <v>1430</v>
      </c>
      <c r="B91" s="59" t="s">
        <v>264</v>
      </c>
      <c r="C91" s="106">
        <v>236</v>
      </c>
      <c r="D91" s="281">
        <v>9075</v>
      </c>
      <c r="E91" s="106"/>
      <c r="F91" s="106">
        <f t="shared" si="4"/>
        <v>0</v>
      </c>
      <c r="G91" s="106">
        <f t="shared" si="5"/>
        <v>236</v>
      </c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</row>
    <row r="92" spans="1:34" s="4" customFormat="1" ht="19.5" thickBot="1" x14ac:dyDescent="0.35">
      <c r="A92" s="253">
        <v>1440</v>
      </c>
      <c r="B92" s="268" t="s">
        <v>265</v>
      </c>
      <c r="C92" s="106">
        <v>0</v>
      </c>
      <c r="D92" s="281"/>
      <c r="E92" s="106"/>
      <c r="F92" s="106">
        <f t="shared" si="4"/>
        <v>0</v>
      </c>
      <c r="G92" s="106">
        <f t="shared" si="5"/>
        <v>0</v>
      </c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</row>
    <row r="93" spans="1:34" s="4" customFormat="1" ht="19.5" thickBot="1" x14ac:dyDescent="0.35">
      <c r="A93" s="253">
        <v>1450</v>
      </c>
      <c r="B93" s="59" t="s">
        <v>266</v>
      </c>
      <c r="C93" s="106">
        <v>0</v>
      </c>
      <c r="D93" s="281"/>
      <c r="E93" s="106"/>
      <c r="F93" s="106">
        <f t="shared" si="4"/>
        <v>0</v>
      </c>
      <c r="G93" s="106">
        <f t="shared" si="5"/>
        <v>0</v>
      </c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</row>
    <row r="94" spans="1:34" s="4" customFormat="1" ht="19.5" thickBot="1" x14ac:dyDescent="0.35">
      <c r="A94" s="253">
        <v>1460</v>
      </c>
      <c r="B94" s="59" t="s">
        <v>267</v>
      </c>
      <c r="C94" s="106">
        <v>472</v>
      </c>
      <c r="D94" s="281">
        <v>9025</v>
      </c>
      <c r="E94" s="106">
        <f>IF(ISBLANK(D94),,C94)</f>
        <v>472</v>
      </c>
      <c r="F94" s="106">
        <f t="shared" si="4"/>
        <v>0</v>
      </c>
      <c r="G94" s="106">
        <f t="shared" si="5"/>
        <v>0</v>
      </c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</row>
    <row r="95" spans="1:34" s="4" customFormat="1" ht="19.5" thickBot="1" x14ac:dyDescent="0.35">
      <c r="A95" s="253">
        <v>1480</v>
      </c>
      <c r="B95" s="59" t="s">
        <v>268</v>
      </c>
      <c r="C95" s="106">
        <v>768</v>
      </c>
      <c r="D95" s="281">
        <v>9025</v>
      </c>
      <c r="E95" s="106">
        <f>IF(ISBLANK(D95),,C95)</f>
        <v>768</v>
      </c>
      <c r="F95" s="106">
        <f t="shared" si="4"/>
        <v>0</v>
      </c>
      <c r="G95" s="106">
        <f t="shared" si="5"/>
        <v>0</v>
      </c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</row>
    <row r="96" spans="1:34" s="4" customFormat="1" ht="19.5" thickBot="1" x14ac:dyDescent="0.35">
      <c r="A96" s="253">
        <v>1490</v>
      </c>
      <c r="B96" s="59" t="s">
        <v>269</v>
      </c>
      <c r="C96" s="106">
        <v>2362</v>
      </c>
      <c r="D96" s="281">
        <v>9025</v>
      </c>
      <c r="E96" s="106">
        <f>IF(ISBLANK(D96),,C96)</f>
        <v>2362</v>
      </c>
      <c r="F96" s="106">
        <f t="shared" si="4"/>
        <v>0</v>
      </c>
      <c r="G96" s="106">
        <f t="shared" si="5"/>
        <v>0</v>
      </c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</row>
    <row r="97" spans="1:34" s="4" customFormat="1" ht="19.5" thickBot="1" x14ac:dyDescent="0.35">
      <c r="A97" s="253">
        <v>1500</v>
      </c>
      <c r="B97" s="59" t="s">
        <v>270</v>
      </c>
      <c r="C97" s="106">
        <v>10335</v>
      </c>
      <c r="D97" s="281">
        <v>9025</v>
      </c>
      <c r="E97" s="106">
        <f>IF(ISBLANK(D97),,C97)</f>
        <v>10335</v>
      </c>
      <c r="F97" s="106">
        <f t="shared" si="4"/>
        <v>0</v>
      </c>
      <c r="G97" s="106">
        <f t="shared" si="5"/>
        <v>0</v>
      </c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</row>
    <row r="98" spans="1:34" s="4" customFormat="1" ht="19.5" thickBot="1" x14ac:dyDescent="0.35">
      <c r="A98" s="253">
        <v>1510</v>
      </c>
      <c r="B98" s="59" t="s">
        <v>271</v>
      </c>
      <c r="C98" s="106">
        <v>24213</v>
      </c>
      <c r="D98" s="281"/>
      <c r="E98" s="106"/>
      <c r="F98" s="106">
        <f t="shared" si="4"/>
        <v>24213</v>
      </c>
      <c r="G98" s="106">
        <f t="shared" si="5"/>
        <v>0</v>
      </c>
      <c r="I98" s="99"/>
      <c r="J98" s="99"/>
      <c r="K98" s="99"/>
      <c r="L98" s="99"/>
      <c r="M98" s="99">
        <v>567</v>
      </c>
      <c r="N98" s="99"/>
      <c r="O98" s="99">
        <v>90</v>
      </c>
      <c r="P98" s="99"/>
      <c r="Q98" s="99">
        <v>849</v>
      </c>
      <c r="R98" s="99"/>
      <c r="S98" s="99">
        <v>2307</v>
      </c>
      <c r="T98" s="99"/>
      <c r="U98" s="99"/>
      <c r="V98" s="99">
        <v>851</v>
      </c>
      <c r="W98" s="99"/>
      <c r="X98" s="99"/>
      <c r="Y98" s="99">
        <v>8590</v>
      </c>
      <c r="Z98" s="99">
        <v>5833</v>
      </c>
      <c r="AA98" s="99">
        <v>2473</v>
      </c>
      <c r="AB98" s="99">
        <v>2653</v>
      </c>
      <c r="AC98" s="99"/>
      <c r="AD98" s="99"/>
      <c r="AE98" s="99"/>
      <c r="AF98" s="99"/>
      <c r="AG98" s="99"/>
      <c r="AH98" s="99"/>
    </row>
    <row r="99" spans="1:34" s="4" customFormat="1" ht="19.5" thickBot="1" x14ac:dyDescent="0.35">
      <c r="A99" s="253">
        <v>1520</v>
      </c>
      <c r="B99" s="59" t="s">
        <v>272</v>
      </c>
      <c r="C99" s="106">
        <f>10039+(SUMIF(D13:D192,"1520",E13:E192))</f>
        <v>21260</v>
      </c>
      <c r="D99" s="281"/>
      <c r="E99" s="106"/>
      <c r="F99" s="106">
        <f t="shared" si="4"/>
        <v>21260</v>
      </c>
      <c r="G99" s="106">
        <f t="shared" si="5"/>
        <v>0</v>
      </c>
      <c r="I99" s="99"/>
      <c r="J99" s="99"/>
      <c r="K99" s="99"/>
      <c r="L99" s="99"/>
      <c r="M99" s="99"/>
      <c r="N99" s="99"/>
      <c r="O99" s="99"/>
      <c r="P99" s="99">
        <v>5192</v>
      </c>
      <c r="Q99" s="99"/>
      <c r="R99" s="99">
        <v>9308</v>
      </c>
      <c r="S99" s="99">
        <v>1801</v>
      </c>
      <c r="T99" s="99"/>
      <c r="U99" s="99"/>
      <c r="V99" s="99"/>
      <c r="W99" s="99"/>
      <c r="X99" s="99"/>
      <c r="Y99" s="99"/>
      <c r="Z99" s="99"/>
      <c r="AA99" s="99">
        <v>2681</v>
      </c>
      <c r="AB99" s="99">
        <f>528+1750</f>
        <v>2278</v>
      </c>
      <c r="AC99" s="99"/>
      <c r="AD99" s="99"/>
      <c r="AE99" s="99"/>
      <c r="AF99" s="99"/>
      <c r="AG99" s="99"/>
      <c r="AH99" s="99"/>
    </row>
    <row r="100" spans="1:34" s="4" customFormat="1" ht="19.5" thickBot="1" x14ac:dyDescent="0.35">
      <c r="A100" s="253">
        <v>1530</v>
      </c>
      <c r="B100" s="59" t="s">
        <v>273</v>
      </c>
      <c r="C100" s="106">
        <v>1063</v>
      </c>
      <c r="D100" s="281">
        <v>1520</v>
      </c>
      <c r="E100" s="106">
        <f>IF(ISBLANK(D100),,C100)</f>
        <v>1063</v>
      </c>
      <c r="F100" s="106">
        <f t="shared" si="4"/>
        <v>0</v>
      </c>
      <c r="G100" s="106">
        <f t="shared" si="5"/>
        <v>0</v>
      </c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</row>
    <row r="101" spans="1:34" s="4" customFormat="1" ht="19.5" thickBot="1" x14ac:dyDescent="0.35">
      <c r="A101" s="253">
        <v>1540</v>
      </c>
      <c r="B101" s="59" t="s">
        <v>274</v>
      </c>
      <c r="C101" s="106">
        <v>1772</v>
      </c>
      <c r="D101" s="281">
        <v>1520</v>
      </c>
      <c r="E101" s="106">
        <f>IF(ISBLANK(D101),,C101)</f>
        <v>1772</v>
      </c>
      <c r="F101" s="106">
        <f t="shared" si="4"/>
        <v>0</v>
      </c>
      <c r="G101" s="106">
        <f t="shared" si="5"/>
        <v>0</v>
      </c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</row>
    <row r="102" spans="1:34" s="4" customFormat="1" ht="19.5" thickBot="1" x14ac:dyDescent="0.35">
      <c r="A102" s="253">
        <v>1550</v>
      </c>
      <c r="B102" s="59" t="s">
        <v>275</v>
      </c>
      <c r="C102" s="106">
        <v>114864</v>
      </c>
      <c r="D102" s="281"/>
      <c r="E102" s="106"/>
      <c r="F102" s="106">
        <f t="shared" si="4"/>
        <v>114864</v>
      </c>
      <c r="G102" s="106">
        <f t="shared" si="5"/>
        <v>0</v>
      </c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>
        <v>2002</v>
      </c>
      <c r="U102" s="99"/>
      <c r="V102" s="99"/>
      <c r="W102" s="99"/>
      <c r="X102" s="99">
        <f>5182+26459</f>
        <v>31641</v>
      </c>
      <c r="Y102" s="99"/>
      <c r="Z102" s="99"/>
      <c r="AA102" s="99"/>
      <c r="AB102" s="99">
        <v>54632</v>
      </c>
      <c r="AC102" s="99"/>
      <c r="AD102" s="99">
        <v>18078</v>
      </c>
      <c r="AE102" s="99"/>
      <c r="AF102" s="99">
        <v>8511</v>
      </c>
      <c r="AG102" s="99"/>
      <c r="AH102" s="99"/>
    </row>
    <row r="103" spans="1:34" s="4" customFormat="1" ht="19.5" thickBot="1" x14ac:dyDescent="0.35">
      <c r="A103" s="253">
        <v>1560</v>
      </c>
      <c r="B103" s="59" t="s">
        <v>276</v>
      </c>
      <c r="C103" s="106">
        <v>31181</v>
      </c>
      <c r="D103" s="281"/>
      <c r="E103" s="106"/>
      <c r="F103" s="106">
        <f t="shared" si="4"/>
        <v>31181</v>
      </c>
      <c r="G103" s="106">
        <f t="shared" si="5"/>
        <v>0</v>
      </c>
      <c r="I103" s="99"/>
      <c r="J103" s="99"/>
      <c r="K103" s="99"/>
      <c r="L103" s="99"/>
      <c r="M103" s="99">
        <v>2620</v>
      </c>
      <c r="N103" s="99">
        <v>2950</v>
      </c>
      <c r="O103" s="99">
        <v>3600</v>
      </c>
      <c r="P103" s="99">
        <v>3448</v>
      </c>
      <c r="Q103" s="99">
        <v>490</v>
      </c>
      <c r="R103" s="99">
        <v>3015</v>
      </c>
      <c r="S103" s="99">
        <f>6916+3088</f>
        <v>10004</v>
      </c>
      <c r="T103" s="99"/>
      <c r="U103" s="99">
        <v>-37</v>
      </c>
      <c r="V103" s="99">
        <v>3763</v>
      </c>
      <c r="W103" s="99"/>
      <c r="X103" s="99">
        <v>1328</v>
      </c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</row>
    <row r="104" spans="1:34" s="4" customFormat="1" ht="19.5" thickBot="1" x14ac:dyDescent="0.35">
      <c r="A104" s="253">
        <v>1570</v>
      </c>
      <c r="B104" s="59" t="s">
        <v>277</v>
      </c>
      <c r="C104" s="106">
        <v>9803</v>
      </c>
      <c r="D104" s="281">
        <v>9035</v>
      </c>
      <c r="E104" s="106">
        <f t="shared" ref="E104:E109" si="6">IF(ISBLANK(D104),,C104)</f>
        <v>9803</v>
      </c>
      <c r="F104" s="106">
        <f t="shared" si="4"/>
        <v>0</v>
      </c>
      <c r="G104" s="106">
        <f t="shared" si="5"/>
        <v>0</v>
      </c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</row>
    <row r="105" spans="1:34" s="4" customFormat="1" ht="19.5" thickBot="1" x14ac:dyDescent="0.35">
      <c r="A105" s="253">
        <v>1580</v>
      </c>
      <c r="B105" s="59" t="s">
        <v>278</v>
      </c>
      <c r="C105" s="106">
        <v>3957</v>
      </c>
      <c r="D105" s="281">
        <v>9060</v>
      </c>
      <c r="E105" s="106">
        <f t="shared" si="6"/>
        <v>3957</v>
      </c>
      <c r="F105" s="106">
        <f t="shared" si="4"/>
        <v>0</v>
      </c>
      <c r="G105" s="106">
        <f t="shared" si="5"/>
        <v>0</v>
      </c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</row>
    <row r="106" spans="1:34" s="4" customFormat="1" ht="19.5" thickBot="1" x14ac:dyDescent="0.35">
      <c r="A106" s="253">
        <v>1590</v>
      </c>
      <c r="B106" s="59" t="s">
        <v>279</v>
      </c>
      <c r="C106" s="106">
        <v>177</v>
      </c>
      <c r="D106" s="281">
        <v>9060</v>
      </c>
      <c r="E106" s="106">
        <f t="shared" si="6"/>
        <v>177</v>
      </c>
      <c r="F106" s="106">
        <f t="shared" si="4"/>
        <v>0</v>
      </c>
      <c r="G106" s="106">
        <f t="shared" si="5"/>
        <v>0</v>
      </c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</row>
    <row r="107" spans="1:34" s="4" customFormat="1" ht="19.5" thickBot="1" x14ac:dyDescent="0.35">
      <c r="A107" s="253">
        <v>1600</v>
      </c>
      <c r="B107" s="59" t="s">
        <v>280</v>
      </c>
      <c r="C107" s="106">
        <v>532</v>
      </c>
      <c r="D107" s="281">
        <v>9060</v>
      </c>
      <c r="E107" s="106">
        <f t="shared" si="6"/>
        <v>532</v>
      </c>
      <c r="F107" s="106">
        <f t="shared" si="4"/>
        <v>0</v>
      </c>
      <c r="G107" s="106">
        <f t="shared" si="5"/>
        <v>0</v>
      </c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</row>
    <row r="108" spans="1:34" s="4" customFormat="1" ht="19.5" thickBot="1" x14ac:dyDescent="0.35">
      <c r="A108" s="253">
        <v>1620</v>
      </c>
      <c r="B108" s="59" t="s">
        <v>281</v>
      </c>
      <c r="C108" s="106">
        <v>177</v>
      </c>
      <c r="D108" s="281">
        <v>9060</v>
      </c>
      <c r="E108" s="106">
        <f t="shared" si="6"/>
        <v>177</v>
      </c>
      <c r="F108" s="106">
        <f t="shared" si="4"/>
        <v>0</v>
      </c>
      <c r="G108" s="106">
        <f t="shared" si="5"/>
        <v>0</v>
      </c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</row>
    <row r="109" spans="1:34" s="4" customFormat="1" ht="19.5" thickBot="1" x14ac:dyDescent="0.35">
      <c r="A109" s="253">
        <v>1750</v>
      </c>
      <c r="B109" s="59" t="s">
        <v>282</v>
      </c>
      <c r="C109" s="106">
        <v>116</v>
      </c>
      <c r="D109" s="281">
        <v>9060</v>
      </c>
      <c r="E109" s="106">
        <f t="shared" si="6"/>
        <v>116</v>
      </c>
      <c r="F109" s="106">
        <f t="shared" ref="F109:F140" si="7">SUM(I109:AH109)</f>
        <v>0</v>
      </c>
      <c r="G109" s="106">
        <f t="shared" ref="G109:G140" si="8">IF(ISBLANK(E109),C109-F109,C109-E109)</f>
        <v>0</v>
      </c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</row>
    <row r="110" spans="1:34" s="4" customFormat="1" ht="19.5" thickBot="1" x14ac:dyDescent="0.35">
      <c r="A110" s="253">
        <v>1760</v>
      </c>
      <c r="B110" s="59" t="s">
        <v>283</v>
      </c>
      <c r="C110" s="106">
        <v>0</v>
      </c>
      <c r="D110" s="281"/>
      <c r="E110" s="106"/>
      <c r="F110" s="106">
        <f t="shared" si="7"/>
        <v>0</v>
      </c>
      <c r="G110" s="106">
        <f t="shared" si="8"/>
        <v>0</v>
      </c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</row>
    <row r="111" spans="1:34" s="4" customFormat="1" ht="19.5" thickBot="1" x14ac:dyDescent="0.35">
      <c r="A111" s="253">
        <v>1780</v>
      </c>
      <c r="B111" s="59" t="s">
        <v>284</v>
      </c>
      <c r="C111" s="106">
        <v>0</v>
      </c>
      <c r="D111" s="281"/>
      <c r="E111" s="106"/>
      <c r="F111" s="106">
        <f t="shared" si="7"/>
        <v>0</v>
      </c>
      <c r="G111" s="106">
        <f t="shared" si="8"/>
        <v>0</v>
      </c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</row>
    <row r="112" spans="1:34" s="4" customFormat="1" ht="19.5" thickBot="1" x14ac:dyDescent="0.35">
      <c r="A112" s="253">
        <v>1790</v>
      </c>
      <c r="B112" s="59" t="s">
        <v>285</v>
      </c>
      <c r="C112" s="106">
        <v>1595</v>
      </c>
      <c r="D112" s="281">
        <v>9025</v>
      </c>
      <c r="E112" s="106">
        <f>IF(ISBLANK(D112),,C112)</f>
        <v>1595</v>
      </c>
      <c r="F112" s="106">
        <f t="shared" si="7"/>
        <v>0</v>
      </c>
      <c r="G112" s="106">
        <f t="shared" si="8"/>
        <v>0</v>
      </c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</row>
    <row r="113" spans="1:34" s="4" customFormat="1" ht="19.5" thickBot="1" x14ac:dyDescent="0.35">
      <c r="A113" s="253">
        <v>1810</v>
      </c>
      <c r="B113" s="59" t="s">
        <v>286</v>
      </c>
      <c r="C113" s="106">
        <v>0</v>
      </c>
      <c r="D113" s="281"/>
      <c r="E113" s="106"/>
      <c r="F113" s="106">
        <f t="shared" si="7"/>
        <v>0</v>
      </c>
      <c r="G113" s="106">
        <f t="shared" si="8"/>
        <v>0</v>
      </c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</row>
    <row r="114" spans="1:34" s="4" customFormat="1" ht="19.5" thickBot="1" x14ac:dyDescent="0.35">
      <c r="A114" s="253">
        <v>1828</v>
      </c>
      <c r="B114" s="59" t="s">
        <v>287</v>
      </c>
      <c r="C114" s="106">
        <v>9095</v>
      </c>
      <c r="D114" s="281">
        <v>9035</v>
      </c>
      <c r="E114" s="106">
        <f>IF(ISBLANK(D114),,C114)</f>
        <v>9095</v>
      </c>
      <c r="F114" s="106">
        <f t="shared" si="7"/>
        <v>0</v>
      </c>
      <c r="G114" s="106">
        <f t="shared" si="8"/>
        <v>0</v>
      </c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</row>
    <row r="115" spans="1:34" s="4" customFormat="1" ht="19.5" thickBot="1" x14ac:dyDescent="0.35">
      <c r="A115" s="253">
        <v>1850</v>
      </c>
      <c r="B115" s="59" t="s">
        <v>494</v>
      </c>
      <c r="C115" s="106">
        <v>0</v>
      </c>
      <c r="D115" s="281"/>
      <c r="E115" s="106"/>
      <c r="F115" s="106">
        <f t="shared" si="7"/>
        <v>0</v>
      </c>
      <c r="G115" s="106">
        <f t="shared" si="8"/>
        <v>0</v>
      </c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</row>
    <row r="116" spans="1:34" s="4" customFormat="1" ht="19.5" thickBot="1" x14ac:dyDescent="0.35">
      <c r="A116" s="253">
        <v>1860</v>
      </c>
      <c r="B116" s="59" t="s">
        <v>426</v>
      </c>
      <c r="C116" s="106">
        <v>0</v>
      </c>
      <c r="D116" s="281"/>
      <c r="E116" s="106"/>
      <c r="F116" s="106">
        <f t="shared" si="7"/>
        <v>0</v>
      </c>
      <c r="G116" s="106">
        <f t="shared" si="8"/>
        <v>0</v>
      </c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</row>
    <row r="117" spans="1:34" s="4" customFormat="1" ht="19.5" thickBot="1" x14ac:dyDescent="0.35">
      <c r="A117" s="253">
        <v>1870</v>
      </c>
      <c r="B117" s="59" t="s">
        <v>427</v>
      </c>
      <c r="C117" s="106">
        <v>0</v>
      </c>
      <c r="D117" s="281"/>
      <c r="E117" s="106"/>
      <c r="F117" s="106">
        <f t="shared" si="7"/>
        <v>0</v>
      </c>
      <c r="G117" s="106">
        <f t="shared" si="8"/>
        <v>0</v>
      </c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</row>
    <row r="118" spans="1:34" s="4" customFormat="1" ht="19.5" thickBot="1" x14ac:dyDescent="0.35">
      <c r="A118" s="253">
        <v>1980</v>
      </c>
      <c r="B118" s="59" t="s">
        <v>428</v>
      </c>
      <c r="C118" s="106">
        <v>0</v>
      </c>
      <c r="D118" s="281"/>
      <c r="E118" s="106"/>
      <c r="F118" s="106">
        <f t="shared" si="7"/>
        <v>0</v>
      </c>
      <c r="G118" s="106">
        <f t="shared" si="8"/>
        <v>0</v>
      </c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</row>
    <row r="119" spans="1:34" s="4" customFormat="1" ht="19.5" thickBot="1" x14ac:dyDescent="0.35">
      <c r="A119" s="253">
        <v>1990</v>
      </c>
      <c r="B119" s="59" t="s">
        <v>429</v>
      </c>
      <c r="C119" s="106">
        <v>0</v>
      </c>
      <c r="D119" s="281"/>
      <c r="E119" s="106"/>
      <c r="F119" s="106">
        <f t="shared" si="7"/>
        <v>0</v>
      </c>
      <c r="G119" s="106">
        <f t="shared" si="8"/>
        <v>0</v>
      </c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</row>
    <row r="120" spans="1:34" s="4" customFormat="1" ht="19.5" thickBot="1" x14ac:dyDescent="0.35">
      <c r="A120" s="253">
        <v>2000</v>
      </c>
      <c r="B120" s="59" t="s">
        <v>293</v>
      </c>
      <c r="C120" s="106">
        <v>67737</v>
      </c>
      <c r="D120" s="281"/>
      <c r="E120" s="106"/>
      <c r="F120" s="106">
        <f t="shared" si="7"/>
        <v>67737</v>
      </c>
      <c r="G120" s="106">
        <f t="shared" si="8"/>
        <v>0</v>
      </c>
      <c r="I120" s="99"/>
      <c r="J120" s="99"/>
      <c r="K120" s="99">
        <v>6316</v>
      </c>
      <c r="L120" s="99">
        <v>6259</v>
      </c>
      <c r="M120" s="99">
        <v>6258</v>
      </c>
      <c r="N120" s="99"/>
      <c r="O120" s="99">
        <v>12802</v>
      </c>
      <c r="P120" s="99">
        <v>5638</v>
      </c>
      <c r="Q120" s="99">
        <v>5657</v>
      </c>
      <c r="R120" s="99">
        <v>5647</v>
      </c>
      <c r="S120" s="99">
        <f>5652+5648</f>
        <v>11300</v>
      </c>
      <c r="T120" s="99"/>
      <c r="U120" s="99">
        <v>7860</v>
      </c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</row>
    <row r="121" spans="1:34" s="4" customFormat="1" ht="19.5" thickBot="1" x14ac:dyDescent="0.35">
      <c r="A121" s="253">
        <v>2010</v>
      </c>
      <c r="B121" s="59" t="s">
        <v>294</v>
      </c>
      <c r="C121" s="106">
        <v>0</v>
      </c>
      <c r="D121" s="281"/>
      <c r="E121" s="106"/>
      <c r="F121" s="106">
        <f t="shared" si="7"/>
        <v>0</v>
      </c>
      <c r="G121" s="106">
        <f t="shared" si="8"/>
        <v>0</v>
      </c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</row>
    <row r="122" spans="1:34" s="4" customFormat="1" ht="19.5" thickBot="1" x14ac:dyDescent="0.35">
      <c r="A122" s="253">
        <v>2020</v>
      </c>
      <c r="B122" s="59" t="s">
        <v>440</v>
      </c>
      <c r="C122" s="106">
        <v>12402</v>
      </c>
      <c r="D122" s="281"/>
      <c r="E122" s="106"/>
      <c r="F122" s="106">
        <f t="shared" si="7"/>
        <v>12402</v>
      </c>
      <c r="G122" s="106">
        <f t="shared" si="8"/>
        <v>0</v>
      </c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>
        <v>11384</v>
      </c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>
        <v>1018</v>
      </c>
      <c r="AF122" s="99"/>
      <c r="AG122" s="99"/>
      <c r="AH122" s="99"/>
    </row>
    <row r="123" spans="1:34" s="4" customFormat="1" ht="19.5" thickBot="1" x14ac:dyDescent="0.35">
      <c r="A123" s="253">
        <v>2035</v>
      </c>
      <c r="B123" s="59" t="s">
        <v>296</v>
      </c>
      <c r="C123" s="106">
        <v>11752</v>
      </c>
      <c r="D123" s="281"/>
      <c r="E123" s="106"/>
      <c r="F123" s="106">
        <f t="shared" si="7"/>
        <v>11752</v>
      </c>
      <c r="G123" s="106">
        <f t="shared" si="8"/>
        <v>0</v>
      </c>
      <c r="I123" s="99"/>
      <c r="J123" s="99"/>
      <c r="K123" s="99"/>
      <c r="L123" s="99">
        <v>1135</v>
      </c>
      <c r="M123" s="99">
        <v>954</v>
      </c>
      <c r="N123" s="99">
        <v>1008</v>
      </c>
      <c r="O123" s="99">
        <v>961</v>
      </c>
      <c r="P123" s="99">
        <v>1280</v>
      </c>
      <c r="Q123" s="99">
        <v>1105</v>
      </c>
      <c r="R123" s="99">
        <v>960</v>
      </c>
      <c r="S123" s="99">
        <v>966</v>
      </c>
      <c r="T123" s="99">
        <v>2393</v>
      </c>
      <c r="U123" s="99">
        <v>990</v>
      </c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</row>
    <row r="124" spans="1:34" s="4" customFormat="1" ht="19.5" thickBot="1" x14ac:dyDescent="0.35">
      <c r="A124" s="253">
        <v>2055</v>
      </c>
      <c r="B124" s="59" t="s">
        <v>297</v>
      </c>
      <c r="C124" s="106">
        <v>768</v>
      </c>
      <c r="D124" s="281">
        <v>1520</v>
      </c>
      <c r="E124" s="106">
        <f>IF(ISBLANK(D124),,C124)</f>
        <v>768</v>
      </c>
      <c r="F124" s="106">
        <f t="shared" si="7"/>
        <v>0</v>
      </c>
      <c r="G124" s="106">
        <f t="shared" si="8"/>
        <v>0</v>
      </c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</row>
    <row r="125" spans="1:34" s="4" customFormat="1" ht="19.5" thickBot="1" x14ac:dyDescent="0.35">
      <c r="A125" s="253">
        <v>2070</v>
      </c>
      <c r="B125" s="59" t="s">
        <v>298</v>
      </c>
      <c r="C125" s="106">
        <v>1417</v>
      </c>
      <c r="D125" s="281"/>
      <c r="E125" s="106"/>
      <c r="F125" s="106">
        <f t="shared" si="7"/>
        <v>0</v>
      </c>
      <c r="G125" s="106">
        <f t="shared" si="8"/>
        <v>1417</v>
      </c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</row>
    <row r="126" spans="1:34" s="4" customFormat="1" ht="19.5" thickBot="1" x14ac:dyDescent="0.35">
      <c r="A126" s="253">
        <v>2180</v>
      </c>
      <c r="B126" s="59" t="s">
        <v>299</v>
      </c>
      <c r="C126" s="106">
        <f>61891+(SUMIF(D13:D192,"2180",E13:E192))</f>
        <v>75887</v>
      </c>
      <c r="D126" s="281"/>
      <c r="E126" s="106"/>
      <c r="F126" s="106">
        <f t="shared" si="7"/>
        <v>75887</v>
      </c>
      <c r="G126" s="106">
        <f t="shared" si="8"/>
        <v>0</v>
      </c>
      <c r="I126" s="99"/>
      <c r="J126" s="99"/>
      <c r="K126" s="99"/>
      <c r="L126" s="99"/>
      <c r="M126" s="99"/>
      <c r="N126" s="99">
        <f>626+2166</f>
        <v>2792</v>
      </c>
      <c r="O126" s="99">
        <v>12387</v>
      </c>
      <c r="P126" s="99">
        <v>5801</v>
      </c>
      <c r="Q126" s="99">
        <v>5048</v>
      </c>
      <c r="R126" s="99">
        <v>3642</v>
      </c>
      <c r="S126" s="99">
        <f>6756+12741</f>
        <v>19497</v>
      </c>
      <c r="T126" s="99"/>
      <c r="U126" s="99">
        <v>2258</v>
      </c>
      <c r="V126" s="99">
        <v>3642</v>
      </c>
      <c r="W126" s="99">
        <v>18928</v>
      </c>
      <c r="X126" s="99">
        <v>1892</v>
      </c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</row>
    <row r="127" spans="1:34" s="4" customFormat="1" ht="19.5" thickBot="1" x14ac:dyDescent="0.35">
      <c r="A127" s="253">
        <v>2190</v>
      </c>
      <c r="B127" s="59" t="s">
        <v>300</v>
      </c>
      <c r="C127" s="106">
        <v>413</v>
      </c>
      <c r="D127" s="281">
        <v>9050</v>
      </c>
      <c r="E127" s="106">
        <f>IF(ISBLANK(D127),,C127)</f>
        <v>413</v>
      </c>
      <c r="F127" s="106">
        <f t="shared" si="7"/>
        <v>0</v>
      </c>
      <c r="G127" s="106">
        <f t="shared" si="8"/>
        <v>0</v>
      </c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</row>
    <row r="128" spans="1:34" s="4" customFormat="1" ht="19.5" thickBot="1" x14ac:dyDescent="0.35">
      <c r="A128" s="253">
        <v>2395</v>
      </c>
      <c r="B128" s="59" t="s">
        <v>301</v>
      </c>
      <c r="C128" s="106">
        <v>14114</v>
      </c>
      <c r="D128" s="281">
        <v>9035</v>
      </c>
      <c r="E128" s="106">
        <f>IF(ISBLANK(D128),,C128)</f>
        <v>14114</v>
      </c>
      <c r="F128" s="106">
        <f t="shared" si="7"/>
        <v>0</v>
      </c>
      <c r="G128" s="106">
        <f t="shared" si="8"/>
        <v>0</v>
      </c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</row>
    <row r="129" spans="1:34" s="4" customFormat="1" ht="19.5" thickBot="1" x14ac:dyDescent="0.35">
      <c r="A129" s="253">
        <v>2405</v>
      </c>
      <c r="B129" s="59" t="s">
        <v>302</v>
      </c>
      <c r="C129" s="106">
        <v>60887</v>
      </c>
      <c r="D129" s="281"/>
      <c r="E129" s="106"/>
      <c r="F129" s="106">
        <f t="shared" si="7"/>
        <v>60887</v>
      </c>
      <c r="G129" s="106">
        <f t="shared" si="8"/>
        <v>0</v>
      </c>
      <c r="I129" s="99"/>
      <c r="J129" s="99"/>
      <c r="K129" s="99">
        <v>3476</v>
      </c>
      <c r="L129" s="99">
        <v>5321</v>
      </c>
      <c r="M129" s="99">
        <v>4862</v>
      </c>
      <c r="N129" s="99">
        <v>4348</v>
      </c>
      <c r="O129" s="99">
        <v>3393</v>
      </c>
      <c r="P129" s="99">
        <v>4742</v>
      </c>
      <c r="Q129" s="99">
        <v>5000</v>
      </c>
      <c r="R129" s="99">
        <v>4365</v>
      </c>
      <c r="S129" s="99">
        <v>6054</v>
      </c>
      <c r="T129" s="99">
        <v>3516</v>
      </c>
      <c r="U129" s="99">
        <v>1338</v>
      </c>
      <c r="V129" s="99">
        <v>2000</v>
      </c>
      <c r="W129" s="99"/>
      <c r="X129" s="99">
        <v>6412</v>
      </c>
      <c r="Y129" s="99">
        <v>6060</v>
      </c>
      <c r="Z129" s="99"/>
      <c r="AA129" s="99"/>
      <c r="AB129" s="99"/>
      <c r="AC129" s="99"/>
      <c r="AD129" s="99"/>
      <c r="AE129" s="99"/>
      <c r="AF129" s="99"/>
      <c r="AG129" s="99"/>
      <c r="AH129" s="99"/>
    </row>
    <row r="130" spans="1:34" s="4" customFormat="1" ht="19.5" thickBot="1" x14ac:dyDescent="0.35">
      <c r="A130" s="253">
        <v>2505</v>
      </c>
      <c r="B130" s="59" t="s">
        <v>303</v>
      </c>
      <c r="C130" s="106">
        <v>118</v>
      </c>
      <c r="D130" s="281">
        <v>9035</v>
      </c>
      <c r="E130" s="106">
        <f t="shared" ref="E130:E135" si="9">IF(ISBLANK(D130),,C130)</f>
        <v>118</v>
      </c>
      <c r="F130" s="106">
        <f t="shared" si="7"/>
        <v>0</v>
      </c>
      <c r="G130" s="106">
        <f t="shared" si="8"/>
        <v>0</v>
      </c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</row>
    <row r="131" spans="1:34" s="4" customFormat="1" ht="19.5" thickBot="1" x14ac:dyDescent="0.35">
      <c r="A131" s="253">
        <v>2515</v>
      </c>
      <c r="B131" s="59" t="s">
        <v>304</v>
      </c>
      <c r="C131" s="106">
        <v>5610</v>
      </c>
      <c r="D131" s="281">
        <v>9035</v>
      </c>
      <c r="E131" s="106">
        <f t="shared" si="9"/>
        <v>5610</v>
      </c>
      <c r="F131" s="106">
        <f t="shared" si="7"/>
        <v>0</v>
      </c>
      <c r="G131" s="106">
        <f t="shared" si="8"/>
        <v>0</v>
      </c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</row>
    <row r="132" spans="1:34" s="4" customFormat="1" ht="19.5" thickBot="1" x14ac:dyDescent="0.35">
      <c r="A132" s="253">
        <v>2520</v>
      </c>
      <c r="B132" s="59" t="s">
        <v>430</v>
      </c>
      <c r="C132" s="106">
        <v>1181</v>
      </c>
      <c r="D132" s="281">
        <v>9075</v>
      </c>
      <c r="E132" s="106">
        <f t="shared" si="9"/>
        <v>1181</v>
      </c>
      <c r="F132" s="106">
        <f t="shared" si="7"/>
        <v>0</v>
      </c>
      <c r="G132" s="106">
        <f t="shared" si="8"/>
        <v>0</v>
      </c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</row>
    <row r="133" spans="1:34" s="4" customFormat="1" ht="19.5" thickBot="1" x14ac:dyDescent="0.35">
      <c r="A133" s="253">
        <v>2530</v>
      </c>
      <c r="B133" s="59" t="s">
        <v>306</v>
      </c>
      <c r="C133" s="106">
        <v>4429</v>
      </c>
      <c r="D133" s="281">
        <v>9075</v>
      </c>
      <c r="E133" s="106">
        <f t="shared" si="9"/>
        <v>4429</v>
      </c>
      <c r="F133" s="106">
        <f t="shared" si="7"/>
        <v>0</v>
      </c>
      <c r="G133" s="291">
        <f t="shared" si="8"/>
        <v>0</v>
      </c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</row>
    <row r="134" spans="1:34" s="4" customFormat="1" ht="19.5" thickBot="1" x14ac:dyDescent="0.35">
      <c r="A134" s="253">
        <v>2535</v>
      </c>
      <c r="B134" s="59" t="s">
        <v>307</v>
      </c>
      <c r="C134" s="106">
        <v>1831</v>
      </c>
      <c r="D134" s="281">
        <v>9060</v>
      </c>
      <c r="E134" s="106">
        <f t="shared" si="9"/>
        <v>1831</v>
      </c>
      <c r="F134" s="106">
        <f t="shared" si="7"/>
        <v>0</v>
      </c>
      <c r="G134" s="106">
        <f t="shared" si="8"/>
        <v>0</v>
      </c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</row>
    <row r="135" spans="1:34" s="4" customFormat="1" ht="19.5" thickBot="1" x14ac:dyDescent="0.35">
      <c r="A135" s="253">
        <v>2540</v>
      </c>
      <c r="B135" s="59" t="s">
        <v>308</v>
      </c>
      <c r="C135" s="106">
        <v>413</v>
      </c>
      <c r="D135" s="281">
        <v>9060</v>
      </c>
      <c r="E135" s="106">
        <f t="shared" si="9"/>
        <v>413</v>
      </c>
      <c r="F135" s="106">
        <f t="shared" si="7"/>
        <v>0</v>
      </c>
      <c r="G135" s="106">
        <f t="shared" si="8"/>
        <v>0</v>
      </c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</row>
    <row r="136" spans="1:34" s="4" customFormat="1" ht="19.5" thickBot="1" x14ac:dyDescent="0.35">
      <c r="A136" s="253">
        <v>2560</v>
      </c>
      <c r="B136" s="59" t="s">
        <v>309</v>
      </c>
      <c r="C136" s="106">
        <v>0</v>
      </c>
      <c r="D136" s="281"/>
      <c r="E136" s="106"/>
      <c r="F136" s="106">
        <f t="shared" si="7"/>
        <v>0</v>
      </c>
      <c r="G136" s="106">
        <f t="shared" si="8"/>
        <v>0</v>
      </c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</row>
    <row r="137" spans="1:34" s="4" customFormat="1" ht="19.5" thickBot="1" x14ac:dyDescent="0.35">
      <c r="A137" s="253">
        <v>2570</v>
      </c>
      <c r="B137" s="59" t="s">
        <v>495</v>
      </c>
      <c r="C137" s="106">
        <v>0</v>
      </c>
      <c r="D137" s="281"/>
      <c r="E137" s="106"/>
      <c r="F137" s="106">
        <f t="shared" si="7"/>
        <v>0</v>
      </c>
      <c r="G137" s="106">
        <f t="shared" si="8"/>
        <v>0</v>
      </c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</row>
    <row r="138" spans="1:34" s="4" customFormat="1" ht="19.5" thickBot="1" x14ac:dyDescent="0.35">
      <c r="A138" s="253">
        <v>2580</v>
      </c>
      <c r="B138" s="59" t="s">
        <v>496</v>
      </c>
      <c r="C138" s="106">
        <v>0</v>
      </c>
      <c r="D138" s="281"/>
      <c r="E138" s="106"/>
      <c r="F138" s="106">
        <f t="shared" si="7"/>
        <v>0</v>
      </c>
      <c r="G138" s="106">
        <f t="shared" si="8"/>
        <v>0</v>
      </c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</row>
    <row r="139" spans="1:34" s="4" customFormat="1" ht="19.5" thickBot="1" x14ac:dyDescent="0.35">
      <c r="A139" s="253">
        <v>2590</v>
      </c>
      <c r="B139" s="59" t="s">
        <v>497</v>
      </c>
      <c r="C139" s="106">
        <v>0</v>
      </c>
      <c r="D139" s="281"/>
      <c r="E139" s="106"/>
      <c r="F139" s="106">
        <f t="shared" si="7"/>
        <v>0</v>
      </c>
      <c r="G139" s="106">
        <f t="shared" si="8"/>
        <v>0</v>
      </c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</row>
    <row r="140" spans="1:34" s="4" customFormat="1" ht="19.5" thickBot="1" x14ac:dyDescent="0.35">
      <c r="A140" s="253">
        <v>2600</v>
      </c>
      <c r="B140" s="59" t="s">
        <v>498</v>
      </c>
      <c r="C140" s="106">
        <v>0</v>
      </c>
      <c r="D140" s="281"/>
      <c r="E140" s="106"/>
      <c r="F140" s="106">
        <f t="shared" si="7"/>
        <v>0</v>
      </c>
      <c r="G140" s="106">
        <f t="shared" si="8"/>
        <v>0</v>
      </c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</row>
    <row r="141" spans="1:34" s="4" customFormat="1" ht="19.5" thickBot="1" x14ac:dyDescent="0.35">
      <c r="A141" s="253">
        <v>2610</v>
      </c>
      <c r="B141" s="59" t="s">
        <v>499</v>
      </c>
      <c r="C141" s="106">
        <v>0</v>
      </c>
      <c r="D141" s="281"/>
      <c r="E141" s="106"/>
      <c r="F141" s="106">
        <f t="shared" ref="F141:F172" si="10">SUM(I141:AH141)</f>
        <v>0</v>
      </c>
      <c r="G141" s="106">
        <f t="shared" ref="G141:G172" si="11">IF(ISBLANK(E141),C141-F141,C141-E141)</f>
        <v>0</v>
      </c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</row>
    <row r="142" spans="1:34" s="4" customFormat="1" ht="19.5" thickBot="1" x14ac:dyDescent="0.35">
      <c r="A142" s="253">
        <v>2620</v>
      </c>
      <c r="B142" s="59" t="s">
        <v>315</v>
      </c>
      <c r="C142" s="106">
        <v>7382</v>
      </c>
      <c r="D142" s="281">
        <v>9040</v>
      </c>
      <c r="E142" s="106">
        <f>IF(ISBLANK(D142),,C142)</f>
        <v>7382</v>
      </c>
      <c r="F142" s="106">
        <f t="shared" si="10"/>
        <v>0</v>
      </c>
      <c r="G142" s="106">
        <f t="shared" si="11"/>
        <v>0</v>
      </c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</row>
    <row r="143" spans="1:34" s="4" customFormat="1" ht="19.5" thickBot="1" x14ac:dyDescent="0.35">
      <c r="A143" s="253">
        <v>2630</v>
      </c>
      <c r="B143" s="59" t="s">
        <v>500</v>
      </c>
      <c r="C143" s="106">
        <v>0</v>
      </c>
      <c r="D143" s="281"/>
      <c r="E143" s="106"/>
      <c r="F143" s="106">
        <f t="shared" si="10"/>
        <v>0</v>
      </c>
      <c r="G143" s="106">
        <f t="shared" si="11"/>
        <v>0</v>
      </c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</row>
    <row r="144" spans="1:34" s="4" customFormat="1" ht="19.5" thickBot="1" x14ac:dyDescent="0.35">
      <c r="A144" s="253">
        <v>2640</v>
      </c>
      <c r="B144" s="59" t="s">
        <v>317</v>
      </c>
      <c r="C144" s="106">
        <v>10158</v>
      </c>
      <c r="D144" s="281"/>
      <c r="E144" s="106"/>
      <c r="F144" s="106">
        <f t="shared" si="10"/>
        <v>10158</v>
      </c>
      <c r="G144" s="106">
        <f t="shared" si="11"/>
        <v>0</v>
      </c>
      <c r="I144" s="99"/>
      <c r="J144" s="99"/>
      <c r="K144" s="99"/>
      <c r="L144" s="99"/>
      <c r="M144" s="99"/>
      <c r="N144" s="99"/>
      <c r="O144" s="99"/>
      <c r="P144" s="99">
        <v>5075</v>
      </c>
      <c r="Q144" s="99"/>
      <c r="R144" s="99"/>
      <c r="S144" s="99">
        <v>5083</v>
      </c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</row>
    <row r="145" spans="1:34" s="4" customFormat="1" ht="19.5" thickBot="1" x14ac:dyDescent="0.35">
      <c r="A145" s="253">
        <v>2650</v>
      </c>
      <c r="B145" s="59" t="s">
        <v>318</v>
      </c>
      <c r="C145" s="106">
        <v>1772</v>
      </c>
      <c r="D145" s="281">
        <v>9075</v>
      </c>
      <c r="E145" s="106">
        <f>IF(ISBLANK(D145),,C145)</f>
        <v>1772</v>
      </c>
      <c r="F145" s="106">
        <f t="shared" si="10"/>
        <v>0</v>
      </c>
      <c r="G145" s="106">
        <f t="shared" si="11"/>
        <v>0</v>
      </c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</row>
    <row r="146" spans="1:34" s="4" customFormat="1" ht="19.5" thickBot="1" x14ac:dyDescent="0.35">
      <c r="A146" s="253">
        <v>2660</v>
      </c>
      <c r="B146" s="59" t="s">
        <v>319</v>
      </c>
      <c r="C146" s="106">
        <v>6142</v>
      </c>
      <c r="D146" s="281">
        <v>9075</v>
      </c>
      <c r="E146" s="106">
        <f>IF(ISBLANK(D146),,C146)</f>
        <v>6142</v>
      </c>
      <c r="F146" s="106">
        <f t="shared" si="10"/>
        <v>0</v>
      </c>
      <c r="G146" s="106">
        <f t="shared" si="11"/>
        <v>0</v>
      </c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</row>
    <row r="147" spans="1:34" s="4" customFormat="1" ht="19.5" thickBot="1" x14ac:dyDescent="0.35">
      <c r="A147" s="253">
        <v>2670</v>
      </c>
      <c r="B147" s="59" t="s">
        <v>320</v>
      </c>
      <c r="C147" s="106">
        <v>3957</v>
      </c>
      <c r="D147" s="281">
        <v>9075</v>
      </c>
      <c r="E147" s="106">
        <f>IF(ISBLANK(D147),,C147)</f>
        <v>3957</v>
      </c>
      <c r="F147" s="106">
        <f t="shared" si="10"/>
        <v>0</v>
      </c>
      <c r="G147" s="106">
        <f t="shared" si="11"/>
        <v>0</v>
      </c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</row>
    <row r="148" spans="1:34" s="4" customFormat="1" ht="19.5" thickBot="1" x14ac:dyDescent="0.35">
      <c r="A148" s="253">
        <v>2680</v>
      </c>
      <c r="B148" s="59" t="s">
        <v>321</v>
      </c>
      <c r="C148" s="106">
        <v>413</v>
      </c>
      <c r="D148" s="281">
        <v>9075</v>
      </c>
      <c r="E148" s="106">
        <f>IF(ISBLANK(D148),,C148)</f>
        <v>413</v>
      </c>
      <c r="F148" s="106">
        <f t="shared" si="10"/>
        <v>0</v>
      </c>
      <c r="G148" s="106">
        <f t="shared" si="11"/>
        <v>0</v>
      </c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</row>
    <row r="149" spans="1:34" s="4" customFormat="1" ht="19.5" thickBot="1" x14ac:dyDescent="0.35">
      <c r="A149" s="253">
        <v>2690</v>
      </c>
      <c r="B149" s="59" t="s">
        <v>322</v>
      </c>
      <c r="C149" s="106">
        <v>67796</v>
      </c>
      <c r="D149" s="281"/>
      <c r="E149" s="106"/>
      <c r="F149" s="106">
        <f t="shared" si="10"/>
        <v>65712</v>
      </c>
      <c r="G149" s="106">
        <f t="shared" si="11"/>
        <v>2084</v>
      </c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>
        <v>6533</v>
      </c>
      <c r="Y149" s="99"/>
      <c r="Z149" s="99"/>
      <c r="AA149" s="99">
        <v>1364</v>
      </c>
      <c r="AB149" s="99">
        <v>4787</v>
      </c>
      <c r="AC149" s="99">
        <v>11790</v>
      </c>
      <c r="AD149" s="99">
        <v>3920</v>
      </c>
      <c r="AE149" s="99">
        <v>22208</v>
      </c>
      <c r="AF149" s="99">
        <v>5132</v>
      </c>
      <c r="AG149" s="99"/>
      <c r="AH149" s="99">
        <v>9978</v>
      </c>
    </row>
    <row r="150" spans="1:34" s="4" customFormat="1" ht="19.5" thickBot="1" x14ac:dyDescent="0.35">
      <c r="A150" s="253">
        <v>2700</v>
      </c>
      <c r="B150" s="59" t="s">
        <v>323</v>
      </c>
      <c r="C150" s="106">
        <v>18662</v>
      </c>
      <c r="D150" s="281"/>
      <c r="E150" s="106"/>
      <c r="F150" s="106">
        <f t="shared" si="10"/>
        <v>18662</v>
      </c>
      <c r="G150" s="106">
        <f t="shared" si="11"/>
        <v>0</v>
      </c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>
        <v>8693</v>
      </c>
      <c r="U150" s="99">
        <v>7605</v>
      </c>
      <c r="V150" s="99"/>
      <c r="W150" s="99"/>
      <c r="X150" s="99"/>
      <c r="Y150" s="99"/>
      <c r="Z150" s="99"/>
      <c r="AA150" s="99">
        <v>1235</v>
      </c>
      <c r="AB150" s="99"/>
      <c r="AC150" s="99"/>
      <c r="AD150" s="99">
        <v>1129</v>
      </c>
      <c r="AE150" s="99"/>
      <c r="AF150" s="99"/>
      <c r="AG150" s="99"/>
      <c r="AH150" s="99"/>
    </row>
    <row r="151" spans="1:34" s="4" customFormat="1" ht="19.5" thickBot="1" x14ac:dyDescent="0.35">
      <c r="A151" s="253">
        <v>2710</v>
      </c>
      <c r="B151" s="59" t="s">
        <v>324</v>
      </c>
      <c r="C151" s="106">
        <v>3189</v>
      </c>
      <c r="D151" s="281">
        <v>9095</v>
      </c>
      <c r="E151" s="106">
        <f>IF(ISBLANK(D151),,C151)</f>
        <v>3189</v>
      </c>
      <c r="F151" s="106">
        <f t="shared" si="10"/>
        <v>0</v>
      </c>
      <c r="G151" s="106">
        <f t="shared" si="11"/>
        <v>0</v>
      </c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</row>
    <row r="152" spans="1:34" s="4" customFormat="1" ht="19.5" thickBot="1" x14ac:dyDescent="0.35">
      <c r="A152" s="253">
        <v>2720</v>
      </c>
      <c r="B152" s="59" t="s">
        <v>501</v>
      </c>
      <c r="C152" s="106">
        <v>0</v>
      </c>
      <c r="D152" s="281"/>
      <c r="E152" s="106"/>
      <c r="F152" s="106">
        <f t="shared" si="10"/>
        <v>0</v>
      </c>
      <c r="G152" s="106">
        <f t="shared" si="11"/>
        <v>0</v>
      </c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</row>
    <row r="153" spans="1:34" s="4" customFormat="1" ht="19.5" thickBot="1" x14ac:dyDescent="0.35">
      <c r="A153" s="253">
        <v>2730</v>
      </c>
      <c r="B153" s="59" t="s">
        <v>326</v>
      </c>
      <c r="C153" s="106">
        <v>2362</v>
      </c>
      <c r="D153" s="281">
        <v>9055</v>
      </c>
      <c r="E153" s="106">
        <f t="shared" ref="E153:E158" si="12">IF(ISBLANK(D153),,C153)</f>
        <v>2362</v>
      </c>
      <c r="F153" s="106">
        <f t="shared" si="10"/>
        <v>0</v>
      </c>
      <c r="G153" s="106">
        <f t="shared" si="11"/>
        <v>0</v>
      </c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</row>
    <row r="154" spans="1:34" s="4" customFormat="1" ht="19.5" thickBot="1" x14ac:dyDescent="0.35">
      <c r="A154" s="253">
        <v>2740</v>
      </c>
      <c r="B154" s="59" t="s">
        <v>327</v>
      </c>
      <c r="C154" s="106">
        <v>9567</v>
      </c>
      <c r="D154" s="281">
        <v>9055</v>
      </c>
      <c r="E154" s="106">
        <f t="shared" si="12"/>
        <v>9567</v>
      </c>
      <c r="F154" s="106">
        <f t="shared" si="10"/>
        <v>0</v>
      </c>
      <c r="G154" s="106">
        <f t="shared" si="11"/>
        <v>0</v>
      </c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</row>
    <row r="155" spans="1:34" s="4" customFormat="1" ht="19.5" thickBot="1" x14ac:dyDescent="0.35">
      <c r="A155" s="253">
        <v>2750</v>
      </c>
      <c r="B155" s="59" t="s">
        <v>328</v>
      </c>
      <c r="C155" s="106">
        <v>2008</v>
      </c>
      <c r="D155" s="281">
        <v>9055</v>
      </c>
      <c r="E155" s="106">
        <f t="shared" si="12"/>
        <v>2008</v>
      </c>
      <c r="F155" s="106">
        <f t="shared" si="10"/>
        <v>0</v>
      </c>
      <c r="G155" s="106">
        <f t="shared" si="11"/>
        <v>0</v>
      </c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</row>
    <row r="156" spans="1:34" s="4" customFormat="1" ht="19.5" thickBot="1" x14ac:dyDescent="0.35">
      <c r="A156" s="253">
        <v>2760</v>
      </c>
      <c r="B156" s="59" t="s">
        <v>329</v>
      </c>
      <c r="C156" s="106">
        <v>1417</v>
      </c>
      <c r="D156" s="281">
        <v>9095</v>
      </c>
      <c r="E156" s="106">
        <f t="shared" si="12"/>
        <v>1417</v>
      </c>
      <c r="F156" s="106">
        <f t="shared" si="10"/>
        <v>0</v>
      </c>
      <c r="G156" s="106">
        <f t="shared" si="11"/>
        <v>0</v>
      </c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</row>
    <row r="157" spans="1:34" s="4" customFormat="1" ht="19.5" thickBot="1" x14ac:dyDescent="0.35">
      <c r="A157" s="253">
        <v>2770</v>
      </c>
      <c r="B157" s="59" t="s">
        <v>330</v>
      </c>
      <c r="C157" s="106">
        <v>8563</v>
      </c>
      <c r="D157" s="281">
        <v>9095</v>
      </c>
      <c r="E157" s="106">
        <f t="shared" si="12"/>
        <v>8563</v>
      </c>
      <c r="F157" s="106">
        <f t="shared" si="10"/>
        <v>0</v>
      </c>
      <c r="G157" s="106">
        <f t="shared" si="11"/>
        <v>0</v>
      </c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</row>
    <row r="158" spans="1:34" s="4" customFormat="1" ht="19.5" thickBot="1" x14ac:dyDescent="0.35">
      <c r="A158" s="253">
        <v>2780</v>
      </c>
      <c r="B158" s="59" t="s">
        <v>331</v>
      </c>
      <c r="C158" s="106">
        <v>1535</v>
      </c>
      <c r="D158" s="281">
        <v>9095</v>
      </c>
      <c r="E158" s="106">
        <f t="shared" si="12"/>
        <v>1535</v>
      </c>
      <c r="F158" s="106">
        <f t="shared" si="10"/>
        <v>0</v>
      </c>
      <c r="G158" s="106">
        <f t="shared" si="11"/>
        <v>0</v>
      </c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</row>
    <row r="159" spans="1:34" s="4" customFormat="1" ht="19.5" thickBot="1" x14ac:dyDescent="0.35">
      <c r="A159" s="253">
        <v>2790</v>
      </c>
      <c r="B159" s="59" t="s">
        <v>431</v>
      </c>
      <c r="C159" s="106">
        <v>0</v>
      </c>
      <c r="D159" s="281"/>
      <c r="E159" s="106"/>
      <c r="F159" s="106">
        <f t="shared" si="10"/>
        <v>0</v>
      </c>
      <c r="G159" s="106">
        <f t="shared" si="11"/>
        <v>0</v>
      </c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</row>
    <row r="160" spans="1:34" s="4" customFormat="1" ht="19.5" thickBot="1" x14ac:dyDescent="0.35">
      <c r="A160" s="253">
        <v>2800</v>
      </c>
      <c r="B160" s="59" t="s">
        <v>502</v>
      </c>
      <c r="C160" s="106">
        <v>0</v>
      </c>
      <c r="D160" s="281"/>
      <c r="E160" s="106"/>
      <c r="F160" s="106">
        <f t="shared" si="10"/>
        <v>0</v>
      </c>
      <c r="G160" s="106">
        <f t="shared" si="11"/>
        <v>0</v>
      </c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</row>
    <row r="161" spans="1:34" s="4" customFormat="1" ht="19.5" thickBot="1" x14ac:dyDescent="0.35">
      <c r="A161" s="253">
        <v>2810</v>
      </c>
      <c r="B161" s="59" t="s">
        <v>334</v>
      </c>
      <c r="C161" s="106">
        <v>13524</v>
      </c>
      <c r="D161" s="281"/>
      <c r="E161" s="106"/>
      <c r="F161" s="106">
        <f t="shared" si="10"/>
        <v>13524</v>
      </c>
      <c r="G161" s="106">
        <f t="shared" si="11"/>
        <v>0</v>
      </c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>
        <v>13524</v>
      </c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</row>
    <row r="162" spans="1:34" s="4" customFormat="1" ht="19.5" thickBot="1" x14ac:dyDescent="0.35">
      <c r="A162" s="253">
        <v>2820</v>
      </c>
      <c r="B162" s="59" t="s">
        <v>335</v>
      </c>
      <c r="C162" s="106">
        <v>768</v>
      </c>
      <c r="D162" s="281">
        <v>1520</v>
      </c>
      <c r="E162" s="106">
        <f>IF(ISBLANK(D162),,C162)</f>
        <v>768</v>
      </c>
      <c r="F162" s="106">
        <f t="shared" si="10"/>
        <v>768</v>
      </c>
      <c r="G162" s="106">
        <f t="shared" si="11"/>
        <v>0</v>
      </c>
      <c r="I162" s="99"/>
      <c r="J162" s="99"/>
      <c r="K162" s="99"/>
      <c r="L162" s="99"/>
      <c r="M162" s="99"/>
      <c r="N162" s="99">
        <v>768</v>
      </c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</row>
    <row r="163" spans="1:34" s="4" customFormat="1" ht="19.5" thickBot="1" x14ac:dyDescent="0.35">
      <c r="A163" s="253">
        <v>2830</v>
      </c>
      <c r="B163" s="59" t="s">
        <v>336</v>
      </c>
      <c r="C163" s="106">
        <v>5256</v>
      </c>
      <c r="D163" s="281">
        <v>2180</v>
      </c>
      <c r="E163" s="106">
        <f>IF(ISBLANK(D163),,C163)</f>
        <v>5256</v>
      </c>
      <c r="F163" s="106">
        <f t="shared" si="10"/>
        <v>0</v>
      </c>
      <c r="G163" s="106">
        <f t="shared" si="11"/>
        <v>0</v>
      </c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</row>
    <row r="164" spans="1:34" s="4" customFormat="1" ht="19.5" thickBot="1" x14ac:dyDescent="0.35">
      <c r="A164" s="253">
        <v>2840</v>
      </c>
      <c r="B164" s="59" t="s">
        <v>503</v>
      </c>
      <c r="C164" s="106">
        <v>0</v>
      </c>
      <c r="D164" s="281"/>
      <c r="E164" s="106"/>
      <c r="F164" s="106">
        <f t="shared" si="10"/>
        <v>0</v>
      </c>
      <c r="G164" s="106">
        <f t="shared" si="11"/>
        <v>0</v>
      </c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</row>
    <row r="165" spans="1:34" s="4" customFormat="1" ht="19.5" thickBot="1" x14ac:dyDescent="0.35">
      <c r="A165" s="253">
        <v>2862</v>
      </c>
      <c r="B165" s="59" t="s">
        <v>504</v>
      </c>
      <c r="C165" s="106">
        <v>0</v>
      </c>
      <c r="D165" s="281"/>
      <c r="E165" s="106"/>
      <c r="F165" s="106">
        <f t="shared" si="10"/>
        <v>0</v>
      </c>
      <c r="G165" s="106">
        <f t="shared" si="11"/>
        <v>0</v>
      </c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</row>
    <row r="166" spans="1:34" s="4" customFormat="1" ht="19.5" thickBot="1" x14ac:dyDescent="0.35">
      <c r="A166" s="253">
        <v>2865</v>
      </c>
      <c r="B166" s="59" t="s">
        <v>339</v>
      </c>
      <c r="C166" s="106">
        <v>0</v>
      </c>
      <c r="D166" s="281"/>
      <c r="E166" s="106"/>
      <c r="F166" s="106">
        <f t="shared" si="10"/>
        <v>0</v>
      </c>
      <c r="G166" s="106">
        <f t="shared" si="11"/>
        <v>0</v>
      </c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</row>
    <row r="167" spans="1:34" s="4" customFormat="1" ht="19.5" thickBot="1" x14ac:dyDescent="0.35">
      <c r="A167" s="253">
        <v>3000</v>
      </c>
      <c r="B167" s="59" t="s">
        <v>340</v>
      </c>
      <c r="C167" s="106">
        <v>46536</v>
      </c>
      <c r="D167" s="281"/>
      <c r="E167" s="106"/>
      <c r="F167" s="106">
        <f t="shared" si="10"/>
        <v>46536</v>
      </c>
      <c r="G167" s="106">
        <f t="shared" si="11"/>
        <v>0</v>
      </c>
      <c r="I167" s="99"/>
      <c r="J167" s="99"/>
      <c r="K167" s="99"/>
      <c r="L167" s="99"/>
      <c r="M167" s="99">
        <v>14276</v>
      </c>
      <c r="N167" s="99">
        <v>4262</v>
      </c>
      <c r="O167" s="99">
        <v>4292</v>
      </c>
      <c r="P167" s="99">
        <v>4292</v>
      </c>
      <c r="Q167" s="99">
        <v>4293</v>
      </c>
      <c r="R167" s="99">
        <v>4409</v>
      </c>
      <c r="S167" s="99">
        <v>10712</v>
      </c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</row>
    <row r="168" spans="1:34" s="4" customFormat="1" ht="19.5" thickBot="1" x14ac:dyDescent="0.35">
      <c r="A168" s="253">
        <v>3010</v>
      </c>
      <c r="B168" s="59" t="s">
        <v>432</v>
      </c>
      <c r="C168" s="106">
        <v>0</v>
      </c>
      <c r="D168" s="281"/>
      <c r="E168" s="106"/>
      <c r="F168" s="106">
        <f t="shared" si="10"/>
        <v>0</v>
      </c>
      <c r="G168" s="106">
        <f t="shared" si="11"/>
        <v>0</v>
      </c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</row>
    <row r="169" spans="1:34" s="4" customFormat="1" ht="19.5" thickBot="1" x14ac:dyDescent="0.35">
      <c r="A169" s="253">
        <v>3020</v>
      </c>
      <c r="B169" s="59" t="s">
        <v>342</v>
      </c>
      <c r="C169" s="106">
        <v>1949</v>
      </c>
      <c r="D169" s="281">
        <v>1020</v>
      </c>
      <c r="E169" s="106">
        <f>IF(ISBLANK(D169),,C169)</f>
        <v>1949</v>
      </c>
      <c r="F169" s="106">
        <f t="shared" si="10"/>
        <v>0</v>
      </c>
      <c r="G169" s="106">
        <f t="shared" si="11"/>
        <v>0</v>
      </c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</row>
    <row r="170" spans="1:34" s="4" customFormat="1" ht="19.5" thickBot="1" x14ac:dyDescent="0.35">
      <c r="A170" s="253">
        <v>3030</v>
      </c>
      <c r="B170" s="59" t="s">
        <v>505</v>
      </c>
      <c r="C170" s="106">
        <v>0</v>
      </c>
      <c r="D170" s="281"/>
      <c r="E170" s="106"/>
      <c r="F170" s="106">
        <f t="shared" si="10"/>
        <v>0</v>
      </c>
      <c r="G170" s="106">
        <f t="shared" si="11"/>
        <v>0</v>
      </c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</row>
    <row r="171" spans="1:34" s="4" customFormat="1" ht="19.5" thickBot="1" x14ac:dyDescent="0.35">
      <c r="A171" s="253">
        <v>3040</v>
      </c>
      <c r="B171" s="59" t="s">
        <v>344</v>
      </c>
      <c r="C171" s="106">
        <v>1063</v>
      </c>
      <c r="D171" s="281">
        <v>9025</v>
      </c>
      <c r="E171" s="106">
        <f>IF(ISBLANK(D171),,C171)</f>
        <v>1063</v>
      </c>
      <c r="F171" s="106">
        <f t="shared" si="10"/>
        <v>0</v>
      </c>
      <c r="G171" s="106">
        <f t="shared" si="11"/>
        <v>0</v>
      </c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</row>
    <row r="172" spans="1:34" s="4" customFormat="1" ht="19.5" thickBot="1" x14ac:dyDescent="0.35">
      <c r="A172" s="253">
        <v>3050</v>
      </c>
      <c r="B172" s="59" t="s">
        <v>345</v>
      </c>
      <c r="C172" s="106">
        <v>0</v>
      </c>
      <c r="D172" s="281"/>
      <c r="E172" s="106"/>
      <c r="F172" s="106">
        <f t="shared" si="10"/>
        <v>0</v>
      </c>
      <c r="G172" s="106">
        <f t="shared" si="11"/>
        <v>0</v>
      </c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</row>
    <row r="173" spans="1:34" s="4" customFormat="1" ht="19.5" thickBot="1" x14ac:dyDescent="0.35">
      <c r="A173" s="253">
        <v>3060</v>
      </c>
      <c r="B173" s="59" t="s">
        <v>490</v>
      </c>
      <c r="C173" s="106">
        <v>0</v>
      </c>
      <c r="D173" s="281"/>
      <c r="E173" s="106"/>
      <c r="F173" s="106">
        <f t="shared" ref="F173:F201" si="13">SUM(I173:AH173)</f>
        <v>0</v>
      </c>
      <c r="G173" s="106">
        <f t="shared" ref="G173:G201" si="14">IF(ISBLANK(E173),C173-F173,C173-E173)</f>
        <v>0</v>
      </c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</row>
    <row r="174" spans="1:34" s="4" customFormat="1" ht="19.5" thickBot="1" x14ac:dyDescent="0.35">
      <c r="A174" s="253">
        <v>3070</v>
      </c>
      <c r="B174" s="59" t="s">
        <v>347</v>
      </c>
      <c r="C174" s="106">
        <v>118</v>
      </c>
      <c r="D174" s="281">
        <v>9025</v>
      </c>
      <c r="E174" s="106">
        <f>IF(ISBLANK(D174),,C174)</f>
        <v>118</v>
      </c>
      <c r="F174" s="106">
        <f t="shared" si="13"/>
        <v>0</v>
      </c>
      <c r="G174" s="106">
        <f t="shared" si="14"/>
        <v>0</v>
      </c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</row>
    <row r="175" spans="1:34" s="4" customFormat="1" ht="19.5" thickBot="1" x14ac:dyDescent="0.35">
      <c r="A175" s="253">
        <v>3080</v>
      </c>
      <c r="B175" s="59" t="s">
        <v>348</v>
      </c>
      <c r="C175" s="106">
        <v>22087</v>
      </c>
      <c r="D175" s="281">
        <v>9035</v>
      </c>
      <c r="E175" s="106">
        <f>IF(ISBLANK(D175),,C175)</f>
        <v>22087</v>
      </c>
      <c r="F175" s="106">
        <f t="shared" si="13"/>
        <v>0</v>
      </c>
      <c r="G175" s="106">
        <f t="shared" si="14"/>
        <v>0</v>
      </c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</row>
    <row r="176" spans="1:34" s="4" customFormat="1" ht="19.5" thickBot="1" x14ac:dyDescent="0.35">
      <c r="A176" s="253">
        <v>3085</v>
      </c>
      <c r="B176" s="59" t="s">
        <v>349</v>
      </c>
      <c r="C176" s="106">
        <v>8327</v>
      </c>
      <c r="D176" s="281">
        <v>9035</v>
      </c>
      <c r="E176" s="106">
        <f>IF(ISBLANK(D176),,C176)</f>
        <v>8327</v>
      </c>
      <c r="F176" s="106">
        <f t="shared" si="13"/>
        <v>0</v>
      </c>
      <c r="G176" s="106">
        <f t="shared" si="14"/>
        <v>0</v>
      </c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</row>
    <row r="177" spans="1:34" s="4" customFormat="1" ht="19.5" thickBot="1" x14ac:dyDescent="0.35">
      <c r="A177" s="253">
        <v>3090</v>
      </c>
      <c r="B177" s="59" t="s">
        <v>350</v>
      </c>
      <c r="C177" s="106">
        <v>23150</v>
      </c>
      <c r="D177" s="281"/>
      <c r="E177" s="106"/>
      <c r="F177" s="106">
        <f t="shared" si="13"/>
        <v>23150</v>
      </c>
      <c r="G177" s="106">
        <f t="shared" si="14"/>
        <v>0</v>
      </c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>
        <v>23150</v>
      </c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</row>
    <row r="178" spans="1:34" s="4" customFormat="1" ht="19.5" thickBot="1" x14ac:dyDescent="0.35">
      <c r="A178" s="253">
        <v>3100</v>
      </c>
      <c r="B178" s="59" t="s">
        <v>351</v>
      </c>
      <c r="C178" s="106">
        <v>4134</v>
      </c>
      <c r="D178" s="281">
        <v>9035</v>
      </c>
      <c r="E178" s="106">
        <f>IF(ISBLANK(D178),,C178)</f>
        <v>4134</v>
      </c>
      <c r="F178" s="106">
        <f t="shared" si="13"/>
        <v>0</v>
      </c>
      <c r="G178" s="106">
        <f t="shared" si="14"/>
        <v>0</v>
      </c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</row>
    <row r="179" spans="1:34" s="4" customFormat="1" ht="19.5" thickBot="1" x14ac:dyDescent="0.35">
      <c r="A179" s="253">
        <v>3110</v>
      </c>
      <c r="B179" s="59" t="s">
        <v>352</v>
      </c>
      <c r="C179" s="106">
        <v>15768</v>
      </c>
      <c r="D179" s="281"/>
      <c r="E179" s="106"/>
      <c r="F179" s="106">
        <f t="shared" si="13"/>
        <v>15768</v>
      </c>
      <c r="G179" s="106">
        <f t="shared" si="14"/>
        <v>0</v>
      </c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>
        <v>15768</v>
      </c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</row>
    <row r="180" spans="1:34" s="4" customFormat="1" ht="19.5" thickBot="1" x14ac:dyDescent="0.35">
      <c r="A180" s="253">
        <v>3120</v>
      </c>
      <c r="B180" s="59" t="s">
        <v>353</v>
      </c>
      <c r="C180" s="106">
        <v>299768</v>
      </c>
      <c r="D180" s="281"/>
      <c r="E180" s="106"/>
      <c r="F180" s="106">
        <f t="shared" si="13"/>
        <v>299768</v>
      </c>
      <c r="G180" s="106">
        <f t="shared" si="14"/>
        <v>0</v>
      </c>
      <c r="I180" s="99"/>
      <c r="J180" s="99"/>
      <c r="K180" s="99"/>
      <c r="L180" s="99">
        <v>38401</v>
      </c>
      <c r="M180" s="99">
        <v>26427</v>
      </c>
      <c r="N180" s="99">
        <v>23612</v>
      </c>
      <c r="O180" s="99">
        <v>16256</v>
      </c>
      <c r="P180" s="99">
        <v>23778</v>
      </c>
      <c r="Q180" s="99">
        <v>25589</v>
      </c>
      <c r="R180" s="99">
        <v>23812</v>
      </c>
      <c r="S180" s="99">
        <f>23998+31694</f>
        <v>55692</v>
      </c>
      <c r="T180" s="99"/>
      <c r="U180" s="99"/>
      <c r="V180" s="99">
        <v>47737</v>
      </c>
      <c r="W180" s="99"/>
      <c r="X180" s="99"/>
      <c r="Y180" s="99">
        <v>18464</v>
      </c>
      <c r="Z180" s="99"/>
      <c r="AA180" s="99"/>
      <c r="AB180" s="99"/>
      <c r="AC180" s="99"/>
      <c r="AD180" s="99"/>
      <c r="AE180" s="99"/>
      <c r="AF180" s="99"/>
      <c r="AG180" s="99"/>
      <c r="AH180" s="99"/>
    </row>
    <row r="181" spans="1:34" s="4" customFormat="1" ht="19.5" thickBot="1" x14ac:dyDescent="0.35">
      <c r="A181" s="253">
        <v>3130</v>
      </c>
      <c r="B181" s="59" t="s">
        <v>354</v>
      </c>
      <c r="C181" s="106">
        <v>4902</v>
      </c>
      <c r="D181" s="281">
        <v>9035</v>
      </c>
      <c r="E181" s="106">
        <f>IF(ISBLANK(D181),,C181)</f>
        <v>4902</v>
      </c>
      <c r="F181" s="106">
        <f t="shared" si="13"/>
        <v>0</v>
      </c>
      <c r="G181" s="106">
        <f t="shared" si="14"/>
        <v>0</v>
      </c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</row>
    <row r="182" spans="1:34" s="4" customFormat="1" ht="19.5" thickBot="1" x14ac:dyDescent="0.35">
      <c r="A182" s="253">
        <v>3140</v>
      </c>
      <c r="B182" s="59" t="s">
        <v>355</v>
      </c>
      <c r="C182" s="106">
        <v>47304</v>
      </c>
      <c r="D182" s="281"/>
      <c r="E182" s="106"/>
      <c r="F182" s="106">
        <f t="shared" si="13"/>
        <v>47304</v>
      </c>
      <c r="G182" s="106">
        <f t="shared" si="14"/>
        <v>0</v>
      </c>
      <c r="I182" s="99"/>
      <c r="J182" s="99"/>
      <c r="K182" s="99"/>
      <c r="L182" s="99"/>
      <c r="M182" s="99"/>
      <c r="N182" s="99">
        <v>6912</v>
      </c>
      <c r="O182" s="99"/>
      <c r="P182" s="99"/>
      <c r="Q182" s="99"/>
      <c r="R182" s="99">
        <v>15407</v>
      </c>
      <c r="S182" s="99">
        <v>7678</v>
      </c>
      <c r="T182" s="99"/>
      <c r="U182" s="99"/>
      <c r="V182" s="99"/>
      <c r="W182" s="99"/>
      <c r="X182" s="99">
        <v>13609</v>
      </c>
      <c r="Y182" s="99"/>
      <c r="Z182" s="99">
        <v>3698</v>
      </c>
      <c r="AA182" s="99"/>
      <c r="AB182" s="99"/>
      <c r="AC182" s="99"/>
      <c r="AD182" s="99"/>
      <c r="AE182" s="99"/>
      <c r="AF182" s="99"/>
      <c r="AG182" s="99"/>
      <c r="AH182" s="99"/>
    </row>
    <row r="183" spans="1:34" s="4" customFormat="1" ht="19.5" thickBot="1" x14ac:dyDescent="0.35">
      <c r="A183" s="253">
        <v>3145</v>
      </c>
      <c r="B183" s="59" t="s">
        <v>356</v>
      </c>
      <c r="C183" s="106">
        <v>5492</v>
      </c>
      <c r="D183" s="281">
        <v>9035</v>
      </c>
      <c r="E183" s="106">
        <f>IF(ISBLANK(D183),,C183)</f>
        <v>5492</v>
      </c>
      <c r="F183" s="106">
        <f t="shared" si="13"/>
        <v>0</v>
      </c>
      <c r="G183" s="106">
        <f t="shared" si="14"/>
        <v>0</v>
      </c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</row>
    <row r="184" spans="1:34" s="4" customFormat="1" ht="19.5" thickBot="1" x14ac:dyDescent="0.35">
      <c r="A184" s="253">
        <v>3146</v>
      </c>
      <c r="B184" s="59" t="s">
        <v>357</v>
      </c>
      <c r="C184" s="106">
        <v>0</v>
      </c>
      <c r="D184" s="281"/>
      <c r="E184" s="106"/>
      <c r="F184" s="106">
        <f t="shared" si="13"/>
        <v>0</v>
      </c>
      <c r="G184" s="106">
        <f t="shared" si="14"/>
        <v>0</v>
      </c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</row>
    <row r="185" spans="1:34" s="4" customFormat="1" ht="19.5" thickBot="1" x14ac:dyDescent="0.35">
      <c r="A185" s="253">
        <v>3147</v>
      </c>
      <c r="B185" s="59" t="s">
        <v>358</v>
      </c>
      <c r="C185" s="106">
        <v>236</v>
      </c>
      <c r="D185" s="281">
        <v>9035</v>
      </c>
      <c r="E185" s="106">
        <f>IF(ISBLANK(D185),,C185)</f>
        <v>236</v>
      </c>
      <c r="F185" s="106">
        <f t="shared" si="13"/>
        <v>0</v>
      </c>
      <c r="G185" s="106">
        <f t="shared" si="14"/>
        <v>0</v>
      </c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</row>
    <row r="186" spans="1:34" s="4" customFormat="1" ht="19.5" thickBot="1" x14ac:dyDescent="0.35">
      <c r="A186" s="253">
        <v>3148</v>
      </c>
      <c r="B186" s="59" t="s">
        <v>359</v>
      </c>
      <c r="C186" s="106">
        <v>0</v>
      </c>
      <c r="D186" s="281"/>
      <c r="E186" s="106"/>
      <c r="F186" s="106">
        <f t="shared" si="13"/>
        <v>0</v>
      </c>
      <c r="G186" s="106">
        <f t="shared" si="14"/>
        <v>0</v>
      </c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</row>
    <row r="187" spans="1:34" s="4" customFormat="1" ht="19.5" thickBot="1" x14ac:dyDescent="0.35">
      <c r="A187" s="253">
        <v>3200</v>
      </c>
      <c r="B187" s="59" t="s">
        <v>360</v>
      </c>
      <c r="C187" s="106">
        <v>19252</v>
      </c>
      <c r="D187" s="281"/>
      <c r="E187" s="106"/>
      <c r="F187" s="106">
        <f t="shared" si="13"/>
        <v>19252</v>
      </c>
      <c r="G187" s="106">
        <f t="shared" si="14"/>
        <v>0</v>
      </c>
      <c r="I187" s="99"/>
      <c r="J187" s="99"/>
      <c r="K187" s="99"/>
      <c r="L187" s="99"/>
      <c r="M187" s="99"/>
      <c r="N187" s="99"/>
      <c r="O187" s="99"/>
      <c r="P187" s="99"/>
      <c r="Q187" s="99">
        <f>7907+2181</f>
        <v>10088</v>
      </c>
      <c r="R187" s="99"/>
      <c r="S187" s="99">
        <f>4422+2241</f>
        <v>6663</v>
      </c>
      <c r="T187" s="99"/>
      <c r="U187" s="99"/>
      <c r="V187" s="99"/>
      <c r="W187" s="99">
        <f>260+2241</f>
        <v>2501</v>
      </c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</row>
    <row r="188" spans="1:34" s="4" customFormat="1" ht="19.5" customHeight="1" thickBot="1" x14ac:dyDescent="0.35">
      <c r="A188" s="253">
        <v>3210</v>
      </c>
      <c r="B188" s="59" t="s">
        <v>361</v>
      </c>
      <c r="C188" s="106">
        <v>7441</v>
      </c>
      <c r="D188" s="281">
        <v>9040</v>
      </c>
      <c r="E188" s="106">
        <f>IF(ISBLANK(D188),,C188)</f>
        <v>7441</v>
      </c>
      <c r="F188" s="106">
        <f t="shared" si="13"/>
        <v>0</v>
      </c>
      <c r="G188" s="106">
        <f t="shared" si="14"/>
        <v>0</v>
      </c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</row>
    <row r="189" spans="1:34" s="4" customFormat="1" ht="19.5" thickBot="1" x14ac:dyDescent="0.35">
      <c r="A189" s="253">
        <v>3220</v>
      </c>
      <c r="B189" s="59" t="s">
        <v>362</v>
      </c>
      <c r="C189" s="106">
        <v>2303</v>
      </c>
      <c r="D189" s="281">
        <v>9025</v>
      </c>
      <c r="E189" s="106">
        <f>IF(ISBLANK(D189),,C189)</f>
        <v>2303</v>
      </c>
      <c r="F189" s="106">
        <f t="shared" si="13"/>
        <v>0</v>
      </c>
      <c r="G189" s="106">
        <f t="shared" si="14"/>
        <v>0</v>
      </c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</row>
    <row r="190" spans="1:34" s="4" customFormat="1" ht="19.5" thickBot="1" x14ac:dyDescent="0.35">
      <c r="A190" s="253">
        <v>3230</v>
      </c>
      <c r="B190" s="59" t="s">
        <v>363</v>
      </c>
      <c r="C190" s="106">
        <v>354</v>
      </c>
      <c r="D190" s="281">
        <v>9025</v>
      </c>
      <c r="E190" s="106">
        <f>IF(ISBLANK(D190),,C190)</f>
        <v>354</v>
      </c>
      <c r="F190" s="106">
        <f t="shared" si="13"/>
        <v>0</v>
      </c>
      <c r="G190" s="106">
        <f t="shared" si="14"/>
        <v>0</v>
      </c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</row>
    <row r="191" spans="1:34" s="4" customFormat="1" ht="19.5" thickBot="1" x14ac:dyDescent="0.35">
      <c r="A191" s="250">
        <v>8001</v>
      </c>
      <c r="B191" s="59" t="s">
        <v>365</v>
      </c>
      <c r="C191" s="106">
        <v>137128</v>
      </c>
      <c r="D191" s="281"/>
      <c r="E191" s="106"/>
      <c r="F191" s="106">
        <f t="shared" si="13"/>
        <v>137128</v>
      </c>
      <c r="G191" s="106">
        <f t="shared" si="14"/>
        <v>0</v>
      </c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>
        <v>37610</v>
      </c>
      <c r="U191" s="99">
        <v>15759</v>
      </c>
      <c r="V191" s="99">
        <v>2595</v>
      </c>
      <c r="W191" s="99">
        <v>18650</v>
      </c>
      <c r="X191" s="99">
        <v>762</v>
      </c>
      <c r="Y191" s="99">
        <v>3751</v>
      </c>
      <c r="Z191" s="99">
        <v>762</v>
      </c>
      <c r="AA191" s="99">
        <v>734</v>
      </c>
      <c r="AB191" s="99">
        <v>10820</v>
      </c>
      <c r="AC191" s="99">
        <v>20941</v>
      </c>
      <c r="AD191" s="99">
        <v>8241</v>
      </c>
      <c r="AE191" s="99">
        <v>10691</v>
      </c>
      <c r="AF191" s="99">
        <v>5812</v>
      </c>
      <c r="AG191" s="99"/>
      <c r="AH191" s="99"/>
    </row>
    <row r="192" spans="1:34" s="4" customFormat="1" ht="19.5" thickBot="1" x14ac:dyDescent="0.35">
      <c r="A192" s="253">
        <v>9000</v>
      </c>
      <c r="B192" s="59" t="s">
        <v>366</v>
      </c>
      <c r="C192" s="106"/>
      <c r="D192" s="282"/>
      <c r="E192" s="106"/>
      <c r="F192" s="106">
        <f t="shared" si="13"/>
        <v>0</v>
      </c>
      <c r="G192" s="106">
        <f t="shared" si="14"/>
        <v>0</v>
      </c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</row>
    <row r="193" spans="1:34" ht="19.5" customHeight="1" thickBot="1" x14ac:dyDescent="0.3">
      <c r="A193" s="251">
        <v>9025</v>
      </c>
      <c r="B193" s="65" t="s">
        <v>380</v>
      </c>
      <c r="C193" s="106">
        <f>SUMIF(D13:D192,"9025",E13:E192)</f>
        <v>36555</v>
      </c>
      <c r="D193" s="282"/>
      <c r="E193" s="106"/>
      <c r="F193" s="106">
        <f t="shared" si="13"/>
        <v>36555</v>
      </c>
      <c r="G193" s="106">
        <f t="shared" si="14"/>
        <v>0</v>
      </c>
      <c r="I193" s="100"/>
      <c r="J193" s="100"/>
      <c r="K193" s="100"/>
      <c r="L193" s="100"/>
      <c r="M193" s="100"/>
      <c r="N193" s="100"/>
      <c r="O193" s="100"/>
      <c r="P193" s="100"/>
      <c r="Q193" s="100"/>
      <c r="R193" s="100">
        <v>2272</v>
      </c>
      <c r="S193" s="100">
        <v>10604</v>
      </c>
      <c r="T193" s="100">
        <v>7242</v>
      </c>
      <c r="U193" s="100">
        <v>427</v>
      </c>
      <c r="V193" s="100"/>
      <c r="W193" s="100"/>
      <c r="X193" s="100"/>
      <c r="Y193" s="100">
        <v>8532</v>
      </c>
      <c r="Z193" s="100"/>
      <c r="AA193" s="100">
        <v>4228</v>
      </c>
      <c r="AB193" s="100">
        <v>3250</v>
      </c>
      <c r="AC193" s="100"/>
      <c r="AD193" s="100"/>
      <c r="AE193" s="100"/>
      <c r="AF193" s="100"/>
      <c r="AG193" s="100"/>
      <c r="AH193" s="100"/>
    </row>
    <row r="194" spans="1:34" ht="19.5" customHeight="1" thickBot="1" x14ac:dyDescent="0.3">
      <c r="A194" s="251">
        <v>9035</v>
      </c>
      <c r="B194" s="65" t="s">
        <v>381</v>
      </c>
      <c r="C194" s="106">
        <f>SUMIF(D13:D192,"9035",E13:E192)</f>
        <v>83918</v>
      </c>
      <c r="D194" s="283"/>
      <c r="E194" s="106"/>
      <c r="F194" s="106">
        <f t="shared" si="13"/>
        <v>83918</v>
      </c>
      <c r="G194" s="106">
        <f t="shared" si="14"/>
        <v>0</v>
      </c>
      <c r="I194" s="100"/>
      <c r="J194" s="100"/>
      <c r="K194" s="100"/>
      <c r="L194" s="100"/>
      <c r="M194" s="100"/>
      <c r="N194" s="100">
        <v>5397</v>
      </c>
      <c r="O194" s="100">
        <v>15900</v>
      </c>
      <c r="P194" s="100">
        <v>7300</v>
      </c>
      <c r="Q194" s="100">
        <v>5900</v>
      </c>
      <c r="R194" s="100">
        <v>16600</v>
      </c>
      <c r="S194" s="100">
        <v>4150</v>
      </c>
      <c r="T194" s="100">
        <v>17900</v>
      </c>
      <c r="U194" s="100">
        <v>4880</v>
      </c>
      <c r="V194" s="100">
        <v>3451</v>
      </c>
      <c r="W194" s="100"/>
      <c r="X194" s="100">
        <v>622</v>
      </c>
      <c r="Y194" s="100">
        <v>633</v>
      </c>
      <c r="Z194" s="100">
        <v>1185</v>
      </c>
      <c r="AA194" s="100"/>
      <c r="AB194" s="100"/>
      <c r="AC194" s="100"/>
      <c r="AD194" s="100"/>
      <c r="AE194" s="100"/>
      <c r="AF194" s="100"/>
      <c r="AG194" s="100"/>
      <c r="AH194" s="100"/>
    </row>
    <row r="195" spans="1:34" ht="19.5" customHeight="1" thickBot="1" x14ac:dyDescent="0.3">
      <c r="A195" s="251">
        <v>9040</v>
      </c>
      <c r="B195" s="66" t="s">
        <v>382</v>
      </c>
      <c r="C195" s="106">
        <f>SUMIF(D13:D192,"9040",E13:E192)</f>
        <v>14823</v>
      </c>
      <c r="D195" s="283"/>
      <c r="E195" s="106"/>
      <c r="F195" s="106">
        <f t="shared" si="13"/>
        <v>14823</v>
      </c>
      <c r="G195" s="106">
        <f t="shared" si="14"/>
        <v>0</v>
      </c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>
        <v>14823</v>
      </c>
      <c r="T195" s="100"/>
      <c r="U195" s="100"/>
      <c r="V195" s="100"/>
      <c r="W195" s="100"/>
      <c r="X195" s="100"/>
      <c r="Y195" s="100" t="s">
        <v>396</v>
      </c>
      <c r="Z195" s="100"/>
      <c r="AA195" s="100"/>
      <c r="AB195" s="100"/>
      <c r="AC195" s="100"/>
      <c r="AD195" s="100"/>
      <c r="AE195" s="100"/>
      <c r="AF195" s="100"/>
      <c r="AG195" s="100"/>
      <c r="AH195" s="100"/>
    </row>
    <row r="196" spans="1:34" ht="19.5" customHeight="1" thickBot="1" x14ac:dyDescent="0.3">
      <c r="A196" s="251">
        <v>9050</v>
      </c>
      <c r="B196" s="66" t="s">
        <v>412</v>
      </c>
      <c r="C196" s="106">
        <f>SUMIF(D13:D192,"9050",E13:E192)</f>
        <v>413</v>
      </c>
      <c r="D196" s="283"/>
      <c r="E196" s="106"/>
      <c r="F196" s="106">
        <f t="shared" si="13"/>
        <v>0</v>
      </c>
      <c r="G196" s="106">
        <f t="shared" si="14"/>
        <v>413</v>
      </c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</row>
    <row r="197" spans="1:34" ht="19.5" customHeight="1" thickBot="1" x14ac:dyDescent="0.3">
      <c r="A197" s="251">
        <v>9055</v>
      </c>
      <c r="B197" s="66" t="s">
        <v>413</v>
      </c>
      <c r="C197" s="106">
        <f>SUMIF(D13:D192,"9055",E13:E192)</f>
        <v>22914</v>
      </c>
      <c r="D197" s="283"/>
      <c r="E197" s="106"/>
      <c r="F197" s="106">
        <f t="shared" si="13"/>
        <v>21567</v>
      </c>
      <c r="G197" s="106">
        <f t="shared" si="14"/>
        <v>1347</v>
      </c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>
        <v>15004</v>
      </c>
      <c r="Y197" s="101"/>
      <c r="Z197" s="101"/>
      <c r="AA197" s="101"/>
      <c r="AB197" s="101">
        <v>1657</v>
      </c>
      <c r="AC197" s="101"/>
      <c r="AD197" s="101"/>
      <c r="AE197" s="101">
        <v>4906</v>
      </c>
      <c r="AF197" s="101"/>
      <c r="AG197" s="101"/>
      <c r="AH197" s="101"/>
    </row>
    <row r="198" spans="1:34" ht="19.5" customHeight="1" thickBot="1" x14ac:dyDescent="0.3">
      <c r="A198" s="251">
        <v>9060</v>
      </c>
      <c r="B198" s="66" t="s">
        <v>414</v>
      </c>
      <c r="C198" s="106">
        <f>SUMIF(D13:D192,"9060",E13:E192)</f>
        <v>13522</v>
      </c>
      <c r="D198" s="283"/>
      <c r="E198" s="106"/>
      <c r="F198" s="106">
        <f t="shared" si="13"/>
        <v>13522</v>
      </c>
      <c r="G198" s="106">
        <f t="shared" si="14"/>
        <v>0</v>
      </c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>
        <v>11002</v>
      </c>
      <c r="AC198" s="101"/>
      <c r="AD198" s="101"/>
      <c r="AE198" s="101"/>
      <c r="AF198" s="101"/>
      <c r="AG198" s="101"/>
      <c r="AH198" s="101">
        <v>2520</v>
      </c>
    </row>
    <row r="199" spans="1:34" ht="19.5" customHeight="1" thickBot="1" x14ac:dyDescent="0.3">
      <c r="A199" s="251">
        <v>9075</v>
      </c>
      <c r="B199" s="65" t="s">
        <v>415</v>
      </c>
      <c r="C199" s="106">
        <f>SUMIF(D13:D192,"9075",E13:E192)</f>
        <v>20138</v>
      </c>
      <c r="D199" s="283"/>
      <c r="E199" s="106"/>
      <c r="F199" s="106">
        <f t="shared" si="13"/>
        <v>20138</v>
      </c>
      <c r="G199" s="106">
        <f t="shared" si="14"/>
        <v>0</v>
      </c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>
        <v>10630</v>
      </c>
      <c r="T199" s="101"/>
      <c r="U199" s="101"/>
      <c r="V199" s="101"/>
      <c r="W199" s="101">
        <v>2105</v>
      </c>
      <c r="X199" s="101"/>
      <c r="Y199" s="101"/>
      <c r="Z199" s="101">
        <v>7403</v>
      </c>
      <c r="AA199" s="101"/>
      <c r="AB199" s="101"/>
      <c r="AC199" s="101"/>
      <c r="AD199" s="101"/>
      <c r="AE199" s="101"/>
      <c r="AF199" s="101"/>
      <c r="AG199" s="101"/>
      <c r="AH199" s="101"/>
    </row>
    <row r="200" spans="1:34" ht="19.5" customHeight="1" thickBot="1" x14ac:dyDescent="0.3">
      <c r="A200" s="251">
        <v>9095</v>
      </c>
      <c r="B200" s="67" t="s">
        <v>383</v>
      </c>
      <c r="C200" s="106">
        <f>SUMIF(D13:D192,"9095",E13:E192)</f>
        <v>25748</v>
      </c>
      <c r="D200" s="283"/>
      <c r="E200" s="106"/>
      <c r="F200" s="106">
        <f t="shared" si="13"/>
        <v>25748</v>
      </c>
      <c r="G200" s="106">
        <f t="shared" si="14"/>
        <v>0</v>
      </c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>
        <v>25748</v>
      </c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</row>
    <row r="201" spans="1:34" ht="19.5" customHeight="1" thickBot="1" x14ac:dyDescent="0.3">
      <c r="A201" s="252">
        <v>9125</v>
      </c>
      <c r="B201" s="152" t="s">
        <v>384</v>
      </c>
      <c r="C201" s="106">
        <f>SUMIF(D13:D192,"9125",E13:E192)</f>
        <v>0</v>
      </c>
      <c r="D201" s="283"/>
      <c r="E201" s="106"/>
      <c r="F201" s="106">
        <f t="shared" si="13"/>
        <v>0</v>
      </c>
      <c r="G201" s="106">
        <f t="shared" si="14"/>
        <v>0</v>
      </c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</row>
    <row r="202" spans="1:34" ht="16.5" thickBot="1" x14ac:dyDescent="0.3">
      <c r="A202" s="160"/>
      <c r="B202" s="161"/>
      <c r="C202" s="106"/>
      <c r="D202" s="182"/>
      <c r="E202" s="106"/>
      <c r="F202" s="106"/>
      <c r="G202" s="106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</row>
    <row r="203" spans="1:34" s="185" customFormat="1" ht="16.5" thickBot="1" x14ac:dyDescent="0.3">
      <c r="A203" s="162"/>
      <c r="B203" s="163"/>
      <c r="C203" s="171">
        <f>SUM(C13:C201)-E203</f>
        <v>7353517</v>
      </c>
      <c r="D203" s="183"/>
      <c r="E203" s="171">
        <f>SUM(E13:E201)</f>
        <v>248091</v>
      </c>
      <c r="F203" s="171">
        <f t="shared" ref="F203:AH203" si="15">SUM(F13:F201)</f>
        <v>7338188</v>
      </c>
      <c r="G203" s="171">
        <f t="shared" si="15"/>
        <v>16097</v>
      </c>
      <c r="H203" s="171">
        <f t="shared" si="15"/>
        <v>0</v>
      </c>
      <c r="I203" s="171">
        <f t="shared" si="15"/>
        <v>0</v>
      </c>
      <c r="J203" s="171">
        <f t="shared" si="15"/>
        <v>0</v>
      </c>
      <c r="K203" s="171">
        <f t="shared" si="15"/>
        <v>14159</v>
      </c>
      <c r="L203" s="171">
        <f t="shared" si="15"/>
        <v>160376</v>
      </c>
      <c r="M203" s="171">
        <f t="shared" si="15"/>
        <v>77413</v>
      </c>
      <c r="N203" s="171">
        <f t="shared" si="15"/>
        <v>289344</v>
      </c>
      <c r="O203" s="171">
        <f t="shared" si="15"/>
        <v>369663</v>
      </c>
      <c r="P203" s="171">
        <f t="shared" si="15"/>
        <v>449956</v>
      </c>
      <c r="Q203" s="171">
        <f t="shared" si="15"/>
        <v>346643</v>
      </c>
      <c r="R203" s="171">
        <f t="shared" si="15"/>
        <v>430145</v>
      </c>
      <c r="S203" s="171">
        <f t="shared" si="15"/>
        <v>897824</v>
      </c>
      <c r="T203" s="171">
        <f t="shared" si="15"/>
        <v>243063</v>
      </c>
      <c r="U203" s="171">
        <f t="shared" si="15"/>
        <v>1456551</v>
      </c>
      <c r="V203" s="171">
        <f t="shared" si="15"/>
        <v>368132</v>
      </c>
      <c r="W203" s="171">
        <f t="shared" si="15"/>
        <v>229703</v>
      </c>
      <c r="X203" s="171">
        <f t="shared" si="15"/>
        <v>643712</v>
      </c>
      <c r="Y203" s="171">
        <f t="shared" si="15"/>
        <v>532343</v>
      </c>
      <c r="Z203" s="171">
        <f t="shared" si="15"/>
        <v>127586</v>
      </c>
      <c r="AA203" s="171">
        <f t="shared" si="15"/>
        <v>322131</v>
      </c>
      <c r="AB203" s="171">
        <f t="shared" si="15"/>
        <v>219995</v>
      </c>
      <c r="AC203" s="171">
        <f t="shared" si="15"/>
        <v>32731</v>
      </c>
      <c r="AD203" s="171">
        <f t="shared" si="15"/>
        <v>36680</v>
      </c>
      <c r="AE203" s="171">
        <f t="shared" si="15"/>
        <v>38823</v>
      </c>
      <c r="AF203" s="171">
        <f t="shared" si="15"/>
        <v>36703</v>
      </c>
      <c r="AG203" s="171">
        <f t="shared" si="15"/>
        <v>0</v>
      </c>
      <c r="AH203" s="171">
        <f t="shared" si="15"/>
        <v>14512</v>
      </c>
    </row>
    <row r="204" spans="1:34" ht="15.75" x14ac:dyDescent="0.25">
      <c r="A204" s="19" t="s">
        <v>364</v>
      </c>
      <c r="B204" s="19" t="s">
        <v>399</v>
      </c>
      <c r="C204" s="52"/>
      <c r="D204" s="51"/>
      <c r="E204" s="52"/>
      <c r="F204" s="52"/>
      <c r="G204" s="5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286"/>
      <c r="Z204" s="19"/>
      <c r="AA204" s="19"/>
      <c r="AB204" s="19"/>
      <c r="AC204" s="19"/>
      <c r="AD204" s="19"/>
      <c r="AE204" s="19"/>
      <c r="AF204" s="19"/>
      <c r="AG204" s="19"/>
      <c r="AH204" s="19"/>
    </row>
    <row r="205" spans="1:34" ht="15.75" x14ac:dyDescent="0.25">
      <c r="A205" s="19"/>
      <c r="B205" s="19"/>
      <c r="C205" s="52"/>
      <c r="D205" s="51"/>
      <c r="E205" s="52"/>
      <c r="F205" s="52"/>
      <c r="G205" s="52"/>
      <c r="H205" s="19"/>
      <c r="I205" s="19"/>
      <c r="J205" s="19"/>
      <c r="K205" s="19"/>
      <c r="L205" s="19"/>
      <c r="M205" s="19"/>
      <c r="N205" s="201"/>
      <c r="O205" s="201"/>
      <c r="P205" s="286"/>
      <c r="Q205" s="286"/>
      <c r="R205" s="286"/>
      <c r="S205" s="286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</row>
    <row r="206" spans="1:34" ht="15.75" x14ac:dyDescent="0.25">
      <c r="A206" s="19"/>
      <c r="B206" s="19"/>
      <c r="C206" s="52"/>
      <c r="D206" s="51"/>
      <c r="E206" s="52"/>
      <c r="F206" s="52"/>
      <c r="G206" s="5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201"/>
      <c r="S206" s="19"/>
      <c r="T206" s="19"/>
      <c r="U206" s="201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</row>
    <row r="207" spans="1:34" ht="15.75" x14ac:dyDescent="0.25">
      <c r="A207" s="19"/>
      <c r="B207" s="19"/>
      <c r="C207" s="50"/>
      <c r="D207" s="51"/>
      <c r="E207" s="52"/>
      <c r="F207" s="52"/>
      <c r="G207" s="5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286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1:34" ht="15.75" x14ac:dyDescent="0.25">
      <c r="A208" s="19"/>
      <c r="B208" s="19"/>
      <c r="C208" s="52"/>
      <c r="D208" s="51"/>
      <c r="E208" s="52"/>
      <c r="F208" s="52"/>
      <c r="G208" s="5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</row>
    <row r="209" spans="1:34" ht="15.75" x14ac:dyDescent="0.25">
      <c r="A209" s="19"/>
      <c r="B209" s="19"/>
      <c r="C209" s="52"/>
      <c r="D209" s="51"/>
      <c r="E209" s="52"/>
      <c r="F209" s="52"/>
      <c r="G209" s="5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</row>
    <row r="210" spans="1:34" ht="15.75" x14ac:dyDescent="0.25">
      <c r="A210" s="19"/>
      <c r="B210" s="19"/>
      <c r="C210" s="52"/>
      <c r="D210" s="51"/>
      <c r="E210" s="52"/>
      <c r="F210" s="52"/>
      <c r="G210" s="5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1:34" ht="15.75" x14ac:dyDescent="0.25">
      <c r="A211" s="19"/>
      <c r="B211" s="19"/>
      <c r="C211" s="52"/>
      <c r="D211" s="51"/>
      <c r="E211" s="52"/>
      <c r="F211" s="52"/>
      <c r="G211" s="5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</row>
    <row r="212" spans="1:34" ht="15.75" x14ac:dyDescent="0.25">
      <c r="A212" s="19"/>
      <c r="B212" s="19"/>
      <c r="C212" s="52"/>
      <c r="D212" s="51"/>
      <c r="E212" s="52"/>
      <c r="F212" s="52"/>
      <c r="G212" s="5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</row>
    <row r="213" spans="1:34" ht="15.75" x14ac:dyDescent="0.25">
      <c r="A213" s="19"/>
      <c r="B213" s="19"/>
      <c r="C213" s="52"/>
      <c r="D213" s="51"/>
      <c r="E213" s="52"/>
      <c r="F213" s="52"/>
      <c r="G213" s="5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</row>
    <row r="214" spans="1:34" ht="15.75" x14ac:dyDescent="0.25">
      <c r="A214" s="19"/>
      <c r="B214" s="19"/>
      <c r="C214" s="52"/>
      <c r="D214" s="51"/>
      <c r="E214" s="52"/>
      <c r="F214" s="52"/>
      <c r="G214" s="5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</row>
    <row r="215" spans="1:34" ht="15.75" x14ac:dyDescent="0.25">
      <c r="A215" s="19"/>
      <c r="B215" s="19"/>
      <c r="C215" s="52"/>
      <c r="D215" s="51"/>
      <c r="E215" s="52"/>
      <c r="F215" s="52"/>
      <c r="G215" s="5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</row>
    <row r="216" spans="1:34" ht="15.75" x14ac:dyDescent="0.25">
      <c r="A216" s="19"/>
      <c r="B216" s="19"/>
      <c r="C216" s="52"/>
      <c r="D216" s="51"/>
      <c r="E216" s="52"/>
      <c r="F216" s="52"/>
      <c r="G216" s="5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</row>
    <row r="217" spans="1:34" ht="15.75" x14ac:dyDescent="0.25">
      <c r="A217" s="19"/>
      <c r="B217" s="19"/>
      <c r="C217" s="52"/>
      <c r="D217" s="51"/>
      <c r="E217" s="52"/>
      <c r="F217" s="52"/>
      <c r="G217" s="5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</row>
    <row r="218" spans="1:34" ht="15.75" x14ac:dyDescent="0.25">
      <c r="A218" s="19"/>
      <c r="B218" s="19"/>
      <c r="C218" s="52"/>
      <c r="D218" s="51"/>
      <c r="E218" s="52"/>
      <c r="F218" s="52"/>
      <c r="G218" s="5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</row>
    <row r="219" spans="1:34" ht="15.75" x14ac:dyDescent="0.25">
      <c r="A219" s="19"/>
      <c r="B219" s="19"/>
      <c r="C219" s="52"/>
      <c r="D219" s="51"/>
      <c r="E219" s="52"/>
      <c r="F219" s="52"/>
      <c r="G219" s="5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</row>
    <row r="220" spans="1:34" ht="15.75" x14ac:dyDescent="0.25">
      <c r="A220" s="19"/>
      <c r="B220" s="19"/>
      <c r="C220" s="52"/>
      <c r="D220" s="51"/>
      <c r="E220" s="52"/>
      <c r="F220" s="52"/>
      <c r="G220" s="5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:34" ht="15.75" x14ac:dyDescent="0.25">
      <c r="A221" s="19"/>
      <c r="B221" s="19"/>
      <c r="C221" s="52"/>
      <c r="D221" s="51"/>
      <c r="E221" s="52"/>
      <c r="F221" s="52"/>
      <c r="G221" s="5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</row>
    <row r="222" spans="1:34" ht="15.75" x14ac:dyDescent="0.25">
      <c r="A222" s="19"/>
      <c r="B222" s="19"/>
      <c r="C222" s="52"/>
      <c r="D222" s="51"/>
      <c r="E222" s="52"/>
      <c r="F222" s="52"/>
      <c r="G222" s="5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</row>
    <row r="223" spans="1:34" ht="15.75" x14ac:dyDescent="0.25">
      <c r="A223" s="19"/>
      <c r="B223" s="19"/>
      <c r="C223" s="52"/>
      <c r="D223" s="51"/>
      <c r="E223" s="52"/>
      <c r="F223" s="52"/>
      <c r="G223" s="5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</row>
    <row r="224" spans="1:34" ht="15.75" x14ac:dyDescent="0.25">
      <c r="A224" s="19"/>
      <c r="B224" s="19"/>
      <c r="C224" s="52"/>
      <c r="D224" s="51"/>
      <c r="E224" s="52"/>
      <c r="F224" s="52"/>
      <c r="G224" s="5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</row>
    <row r="225" spans="1:34" ht="15.75" x14ac:dyDescent="0.25">
      <c r="A225" s="19"/>
      <c r="B225" s="19"/>
      <c r="C225" s="52"/>
      <c r="D225" s="51"/>
      <c r="E225" s="52"/>
      <c r="F225" s="52"/>
      <c r="G225" s="5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</row>
    <row r="226" spans="1:34" ht="15.75" x14ac:dyDescent="0.25">
      <c r="A226" s="19"/>
      <c r="B226" s="19"/>
      <c r="C226" s="52"/>
      <c r="D226" s="51"/>
      <c r="E226" s="52"/>
      <c r="F226" s="52"/>
      <c r="G226" s="5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 spans="1:34" ht="15.75" x14ac:dyDescent="0.25">
      <c r="A227" s="19"/>
      <c r="B227" s="19"/>
      <c r="C227" s="52"/>
      <c r="D227" s="51"/>
      <c r="E227" s="52"/>
      <c r="F227" s="52"/>
      <c r="G227" s="5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 spans="1:34" ht="15.75" x14ac:dyDescent="0.25">
      <c r="A228" s="19"/>
      <c r="B228" s="19"/>
      <c r="C228" s="52"/>
      <c r="D228" s="51"/>
      <c r="E228" s="52"/>
      <c r="F228" s="52"/>
      <c r="G228" s="5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  <row r="229" spans="1:34" ht="15.75" x14ac:dyDescent="0.25">
      <c r="A229" s="19"/>
      <c r="B229" s="19"/>
      <c r="C229" s="52"/>
      <c r="D229" s="51"/>
      <c r="E229" s="52"/>
      <c r="F229" s="52"/>
      <c r="G229" s="5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</row>
    <row r="230" spans="1:34" ht="15.75" x14ac:dyDescent="0.25">
      <c r="A230" s="19"/>
      <c r="B230" s="19"/>
      <c r="C230" s="52"/>
      <c r="D230" s="51"/>
      <c r="E230" s="52"/>
      <c r="F230" s="52"/>
      <c r="G230" s="5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</row>
    <row r="231" spans="1:34" ht="15.75" x14ac:dyDescent="0.25">
      <c r="A231" s="19"/>
      <c r="B231" s="19"/>
      <c r="C231" s="52"/>
      <c r="D231" s="51"/>
      <c r="E231" s="52"/>
      <c r="F231" s="52"/>
      <c r="G231" s="5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</row>
    <row r="232" spans="1:34" ht="15.75" x14ac:dyDescent="0.25">
      <c r="A232" s="19"/>
      <c r="B232" s="19"/>
      <c r="C232" s="52"/>
      <c r="D232" s="51"/>
      <c r="E232" s="52"/>
      <c r="F232" s="52"/>
      <c r="G232" s="5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</row>
    <row r="233" spans="1:34" ht="15.75" x14ac:dyDescent="0.25">
      <c r="A233" s="19"/>
      <c r="B233" s="19"/>
      <c r="C233" s="52"/>
      <c r="D233" s="51"/>
      <c r="E233" s="52"/>
      <c r="F233" s="52"/>
      <c r="G233" s="5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</row>
    <row r="234" spans="1:34" ht="15.75" x14ac:dyDescent="0.25">
      <c r="A234" s="19"/>
      <c r="B234" s="19"/>
      <c r="C234" s="52"/>
      <c r="D234" s="51"/>
      <c r="E234" s="52"/>
      <c r="F234" s="52"/>
      <c r="G234" s="5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</row>
    <row r="235" spans="1:34" ht="15.75" x14ac:dyDescent="0.25">
      <c r="A235" s="19"/>
      <c r="B235" s="19"/>
      <c r="C235" s="52"/>
      <c r="D235" s="51"/>
      <c r="E235" s="52"/>
      <c r="F235" s="52"/>
      <c r="G235" s="5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</row>
    <row r="236" spans="1:34" ht="15.75" x14ac:dyDescent="0.25">
      <c r="A236" s="19"/>
      <c r="B236" s="19"/>
      <c r="C236" s="52"/>
      <c r="D236" s="51"/>
      <c r="E236" s="52"/>
      <c r="F236" s="52"/>
      <c r="G236" s="5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</row>
    <row r="237" spans="1:34" ht="15.75" x14ac:dyDescent="0.25">
      <c r="A237" s="19"/>
      <c r="B237" s="19"/>
      <c r="C237" s="52"/>
      <c r="D237" s="51"/>
      <c r="E237" s="52"/>
      <c r="F237" s="52"/>
      <c r="G237" s="5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</row>
    <row r="238" spans="1:34" ht="15.75" x14ac:dyDescent="0.25">
      <c r="A238" s="19"/>
      <c r="B238" s="19"/>
      <c r="C238" s="52"/>
      <c r="D238" s="51"/>
      <c r="E238" s="52"/>
      <c r="F238" s="52"/>
      <c r="G238" s="52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</row>
    <row r="239" spans="1:34" ht="15.75" x14ac:dyDescent="0.25">
      <c r="A239" s="19"/>
      <c r="B239" s="19"/>
      <c r="C239" s="52"/>
      <c r="D239" s="51"/>
      <c r="E239" s="52"/>
      <c r="F239" s="52"/>
      <c r="G239" s="52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</row>
    <row r="240" spans="1:34" ht="15.75" x14ac:dyDescent="0.25">
      <c r="A240" s="19"/>
      <c r="B240" s="19"/>
      <c r="C240" s="52"/>
      <c r="D240" s="51"/>
      <c r="E240" s="52"/>
      <c r="F240" s="52"/>
      <c r="G240" s="5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</row>
    <row r="241" spans="1:34" ht="15.75" x14ac:dyDescent="0.25">
      <c r="A241" s="19"/>
      <c r="B241" s="19"/>
      <c r="C241" s="52"/>
      <c r="D241" s="51"/>
      <c r="E241" s="52"/>
      <c r="F241" s="52"/>
      <c r="G241" s="5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</row>
    <row r="242" spans="1:34" ht="15.75" x14ac:dyDescent="0.25">
      <c r="A242" s="19"/>
      <c r="B242" s="19"/>
      <c r="C242" s="52"/>
      <c r="D242" s="51"/>
      <c r="E242" s="52"/>
      <c r="F242" s="52"/>
      <c r="G242" s="5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</row>
    <row r="243" spans="1:34" ht="15.75" x14ac:dyDescent="0.25">
      <c r="A243" s="19"/>
      <c r="B243" s="19"/>
      <c r="C243" s="52"/>
      <c r="D243" s="51"/>
      <c r="E243" s="52"/>
      <c r="F243" s="52"/>
      <c r="G243" s="5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</row>
    <row r="244" spans="1:34" ht="15.75" x14ac:dyDescent="0.25">
      <c r="A244" s="19"/>
      <c r="B244" s="19"/>
      <c r="C244" s="52"/>
      <c r="D244" s="51"/>
      <c r="E244" s="52"/>
      <c r="F244" s="52"/>
      <c r="G244" s="5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</row>
    <row r="245" spans="1:34" ht="15.75" x14ac:dyDescent="0.25">
      <c r="A245" s="19"/>
      <c r="B245" s="19"/>
      <c r="C245" s="52"/>
      <c r="D245" s="51"/>
      <c r="E245" s="52"/>
      <c r="F245" s="52"/>
      <c r="G245" s="5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</row>
    <row r="246" spans="1:34" ht="15.75" x14ac:dyDescent="0.25">
      <c r="A246" s="19"/>
      <c r="B246" s="19"/>
      <c r="C246" s="52"/>
      <c r="D246" s="51"/>
      <c r="E246" s="52"/>
      <c r="F246" s="52"/>
      <c r="G246" s="5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</row>
    <row r="247" spans="1:34" ht="15.75" x14ac:dyDescent="0.25">
      <c r="A247" s="19"/>
      <c r="B247" s="19"/>
      <c r="C247" s="52"/>
      <c r="D247" s="51"/>
      <c r="E247" s="52"/>
      <c r="F247" s="52"/>
      <c r="G247" s="5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</row>
    <row r="248" spans="1:34" ht="15.75" x14ac:dyDescent="0.25">
      <c r="A248" s="19"/>
      <c r="B248" s="19"/>
      <c r="C248" s="52"/>
      <c r="D248" s="51"/>
      <c r="E248" s="52"/>
      <c r="F248" s="52"/>
      <c r="G248" s="5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1:34" ht="15.75" x14ac:dyDescent="0.25">
      <c r="A249" s="19"/>
      <c r="B249" s="19"/>
      <c r="C249" s="52"/>
      <c r="D249" s="51"/>
      <c r="E249" s="52"/>
      <c r="F249" s="52"/>
      <c r="G249" s="5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</row>
    <row r="250" spans="1:34" ht="15.75" x14ac:dyDescent="0.25">
      <c r="A250" s="19"/>
      <c r="B250" s="19"/>
      <c r="C250" s="52"/>
      <c r="D250" s="51"/>
      <c r="E250" s="52"/>
      <c r="F250" s="52"/>
      <c r="G250" s="5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</row>
    <row r="251" spans="1:34" ht="15.75" x14ac:dyDescent="0.25">
      <c r="A251" s="19"/>
      <c r="B251" s="19"/>
      <c r="C251" s="52"/>
      <c r="D251" s="51"/>
      <c r="E251" s="52"/>
      <c r="F251" s="52"/>
      <c r="G251" s="5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</row>
    <row r="252" spans="1:34" ht="15.75" x14ac:dyDescent="0.25">
      <c r="A252" s="19"/>
      <c r="B252" s="19"/>
      <c r="C252" s="52"/>
      <c r="D252" s="51"/>
      <c r="E252" s="52"/>
      <c r="F252" s="52"/>
      <c r="G252" s="5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</row>
    <row r="253" spans="1:34" ht="15.75" x14ac:dyDescent="0.25">
      <c r="A253" s="19"/>
      <c r="B253" s="19"/>
      <c r="C253" s="52"/>
      <c r="D253" s="51"/>
      <c r="E253" s="52"/>
      <c r="F253" s="52"/>
      <c r="G253" s="5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</row>
    <row r="254" spans="1:34" ht="15.75" x14ac:dyDescent="0.25">
      <c r="A254" s="19"/>
      <c r="B254" s="19"/>
      <c r="C254" s="52"/>
      <c r="D254" s="51"/>
      <c r="E254" s="52"/>
      <c r="F254" s="52"/>
      <c r="G254" s="5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</row>
    <row r="255" spans="1:34" ht="15.75" x14ac:dyDescent="0.25">
      <c r="A255" s="19"/>
      <c r="B255" s="19"/>
      <c r="C255" s="52"/>
      <c r="D255" s="51"/>
      <c r="E255" s="52"/>
      <c r="F255" s="52"/>
      <c r="G255" s="5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</row>
    <row r="256" spans="1:34" ht="15.75" x14ac:dyDescent="0.25">
      <c r="A256" s="19"/>
      <c r="B256" s="19"/>
      <c r="C256" s="52"/>
      <c r="D256" s="51"/>
      <c r="E256" s="52"/>
      <c r="F256" s="52"/>
      <c r="G256" s="5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</row>
    <row r="257" spans="1:34" ht="15.75" x14ac:dyDescent="0.25">
      <c r="A257" s="19"/>
      <c r="B257" s="19"/>
      <c r="C257" s="52"/>
      <c r="D257" s="51"/>
      <c r="E257" s="52"/>
      <c r="F257" s="52"/>
      <c r="G257" s="5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</row>
    <row r="258" spans="1:34" ht="15.75" x14ac:dyDescent="0.25">
      <c r="A258" s="19"/>
      <c r="B258" s="19"/>
      <c r="C258" s="52"/>
      <c r="D258" s="51"/>
      <c r="E258" s="52"/>
      <c r="F258" s="52"/>
      <c r="G258" s="5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</row>
    <row r="259" spans="1:34" ht="15.75" x14ac:dyDescent="0.25">
      <c r="A259" s="19"/>
      <c r="B259" s="19"/>
      <c r="C259" s="52"/>
      <c r="D259" s="51"/>
      <c r="E259" s="52"/>
      <c r="F259" s="52"/>
      <c r="G259" s="5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</row>
    <row r="260" spans="1:34" ht="15.75" x14ac:dyDescent="0.25">
      <c r="A260" s="19"/>
      <c r="B260" s="19"/>
      <c r="C260" s="52"/>
      <c r="D260" s="51"/>
      <c r="E260" s="52"/>
      <c r="F260" s="52"/>
      <c r="G260" s="5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</row>
    <row r="261" spans="1:34" ht="15.75" x14ac:dyDescent="0.25">
      <c r="A261" s="19"/>
      <c r="B261" s="19"/>
      <c r="C261" s="52"/>
      <c r="D261" s="51"/>
      <c r="E261" s="52"/>
      <c r="F261" s="52"/>
      <c r="G261" s="5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</row>
    <row r="262" spans="1:34" ht="15.75" x14ac:dyDescent="0.25">
      <c r="A262" s="19"/>
      <c r="B262" s="19"/>
      <c r="C262" s="52"/>
      <c r="D262" s="51"/>
      <c r="E262" s="52"/>
      <c r="F262" s="52"/>
      <c r="G262" s="5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</row>
    <row r="263" spans="1:34" ht="15.75" x14ac:dyDescent="0.25">
      <c r="A263" s="19"/>
      <c r="B263" s="19"/>
      <c r="C263" s="52"/>
      <c r="D263" s="51"/>
      <c r="E263" s="52"/>
      <c r="F263" s="52"/>
      <c r="G263" s="5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</row>
    <row r="264" spans="1:34" ht="15.75" x14ac:dyDescent="0.25">
      <c r="A264" s="19"/>
      <c r="B264" s="19"/>
      <c r="C264" s="52"/>
      <c r="D264" s="51"/>
      <c r="E264" s="52"/>
      <c r="F264" s="52"/>
      <c r="G264" s="5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</row>
    <row r="265" spans="1:34" ht="15.75" x14ac:dyDescent="0.25">
      <c r="A265" s="19"/>
      <c r="B265" s="19"/>
      <c r="C265" s="52"/>
      <c r="D265" s="51"/>
      <c r="E265" s="52"/>
      <c r="F265" s="52"/>
      <c r="G265" s="5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</row>
    <row r="266" spans="1:34" ht="15.75" x14ac:dyDescent="0.25">
      <c r="A266" s="19"/>
      <c r="B266" s="19"/>
      <c r="C266" s="52"/>
      <c r="D266" s="51"/>
      <c r="E266" s="52"/>
      <c r="F266" s="52"/>
      <c r="G266" s="5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</row>
    <row r="267" spans="1:34" ht="15.75" x14ac:dyDescent="0.25">
      <c r="A267" s="19"/>
      <c r="B267" s="19"/>
      <c r="C267" s="52"/>
      <c r="D267" s="51"/>
      <c r="E267" s="52"/>
      <c r="F267" s="52"/>
      <c r="G267" s="5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</row>
    <row r="268" spans="1:34" ht="15.75" x14ac:dyDescent="0.25">
      <c r="A268" s="19"/>
      <c r="B268" s="19"/>
      <c r="C268" s="52"/>
      <c r="D268" s="51"/>
      <c r="E268" s="52"/>
      <c r="F268" s="52"/>
      <c r="G268" s="5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J205"/>
  <sheetViews>
    <sheetView workbookViewId="0">
      <pane xSplit="7" ySplit="12" topLeftCell="AI13" activePane="bottomRight" state="frozen"/>
      <selection pane="topRight" activeCell="H1" sqref="H1"/>
      <selection pane="bottomLeft" activeCell="A14" sqref="A14"/>
      <selection pane="bottomRight" activeCell="AJ13" sqref="AJ13"/>
    </sheetView>
  </sheetViews>
  <sheetFormatPr defaultColWidth="9.140625" defaultRowHeight="15" x14ac:dyDescent="0.25"/>
  <cols>
    <col min="1" max="1" width="9.140625" style="2"/>
    <col min="2" max="2" width="29.42578125" style="2" bestFit="1" customWidth="1"/>
    <col min="3" max="3" width="17.7109375" style="2" customWidth="1"/>
    <col min="4" max="4" width="19.7109375" style="20" customWidth="1"/>
    <col min="5" max="5" width="15.140625" style="20" customWidth="1"/>
    <col min="6" max="6" width="15.42578125" style="2" customWidth="1"/>
    <col min="7" max="7" width="15.140625" style="2" customWidth="1"/>
    <col min="8" max="34" width="15.7109375" style="2" customWidth="1"/>
    <col min="35" max="36" width="15.7109375" style="20" customWidth="1"/>
    <col min="37" max="16384" width="9.140625" style="2"/>
  </cols>
  <sheetData>
    <row r="1" spans="1:36" ht="21" x14ac:dyDescent="0.35">
      <c r="A1" s="26" t="s">
        <v>0</v>
      </c>
      <c r="B1" s="27"/>
      <c r="C1" s="28" t="s">
        <v>403</v>
      </c>
      <c r="D1" s="28"/>
      <c r="E1" s="28"/>
      <c r="F1" s="26"/>
      <c r="G1" s="29"/>
      <c r="H1" s="30"/>
      <c r="I1" s="30"/>
      <c r="J1" s="28" t="str">
        <f>A1</f>
        <v>Grant:</v>
      </c>
      <c r="K1" s="28" t="str">
        <f>C1</f>
        <v>Title III-A SAI Formula</v>
      </c>
      <c r="L1" s="26"/>
      <c r="M1" s="26"/>
      <c r="N1" s="29"/>
      <c r="O1" s="29"/>
      <c r="P1" s="30"/>
      <c r="Q1" s="30"/>
      <c r="R1" s="28" t="s">
        <v>0</v>
      </c>
      <c r="S1" s="28" t="str">
        <f>$C$1</f>
        <v>Title III-A SAI Formula</v>
      </c>
      <c r="T1" s="26"/>
      <c r="U1" s="26"/>
      <c r="V1" s="29"/>
      <c r="W1" s="29"/>
      <c r="X1" s="30"/>
      <c r="Y1" s="30"/>
      <c r="Z1" s="28" t="s">
        <v>0</v>
      </c>
      <c r="AA1" s="28" t="str">
        <f>$C$1</f>
        <v>Title III-A SAI Formula</v>
      </c>
      <c r="AB1" s="26"/>
      <c r="AC1" s="26"/>
      <c r="AD1" s="29"/>
      <c r="AE1" s="29"/>
      <c r="AF1" s="30"/>
      <c r="AG1" s="30"/>
      <c r="AH1" s="28"/>
      <c r="AI1" s="259"/>
      <c r="AJ1" s="259"/>
    </row>
    <row r="2" spans="1:36" ht="15.75" x14ac:dyDescent="0.25">
      <c r="A2" s="31" t="s">
        <v>1</v>
      </c>
      <c r="B2" s="27"/>
      <c r="C2" s="32">
        <v>84.364999999999995</v>
      </c>
      <c r="D2" s="32"/>
      <c r="E2" s="32"/>
      <c r="F2" s="31"/>
      <c r="G2" s="33"/>
      <c r="H2" s="30"/>
      <c r="I2" s="30"/>
      <c r="J2" s="31" t="s">
        <v>2</v>
      </c>
      <c r="K2" s="31"/>
      <c r="L2" s="34" t="s">
        <v>446</v>
      </c>
      <c r="M2" s="34"/>
      <c r="N2" s="33"/>
      <c r="O2" s="33"/>
      <c r="P2" s="33"/>
      <c r="Q2" s="33"/>
      <c r="R2" s="31" t="s">
        <v>2</v>
      </c>
      <c r="S2" s="31"/>
      <c r="T2" s="34" t="s">
        <v>446</v>
      </c>
      <c r="U2" s="34"/>
      <c r="V2" s="33"/>
      <c r="W2" s="33"/>
      <c r="X2" s="33"/>
      <c r="Y2" s="33"/>
      <c r="Z2" s="31" t="s">
        <v>2</v>
      </c>
      <c r="AA2" s="31"/>
      <c r="AB2" s="34" t="s">
        <v>3</v>
      </c>
      <c r="AC2" s="34"/>
      <c r="AD2" s="33"/>
      <c r="AE2" s="33"/>
      <c r="AF2" s="33"/>
      <c r="AG2" s="33"/>
      <c r="AH2" s="31"/>
      <c r="AI2" s="262"/>
      <c r="AJ2" s="262"/>
    </row>
    <row r="3" spans="1:36" ht="15.75" x14ac:dyDescent="0.25">
      <c r="A3" s="31" t="s">
        <v>4</v>
      </c>
      <c r="B3" s="27"/>
      <c r="C3" s="34">
        <v>7365</v>
      </c>
      <c r="D3" s="34"/>
      <c r="E3" s="34"/>
      <c r="F3" s="31"/>
      <c r="G3" s="33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261"/>
      <c r="AJ3" s="261"/>
    </row>
    <row r="4" spans="1:36" ht="21" x14ac:dyDescent="0.35">
      <c r="A4" s="31" t="s">
        <v>2</v>
      </c>
      <c r="B4" s="27"/>
      <c r="C4" s="28" t="str">
        <f>'NCLB Title I-A Formula'!$C$4</f>
        <v>2013-14</v>
      </c>
      <c r="D4" s="34"/>
      <c r="E4" s="34"/>
      <c r="F4" s="33"/>
      <c r="G4" s="33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261"/>
      <c r="AJ4" s="261"/>
    </row>
    <row r="5" spans="1:36" ht="15.75" x14ac:dyDescent="0.25">
      <c r="A5" s="31" t="s">
        <v>437</v>
      </c>
      <c r="B5" s="27"/>
      <c r="C5" s="231" t="s">
        <v>479</v>
      </c>
      <c r="D5" s="31"/>
      <c r="E5" s="31"/>
      <c r="F5" s="31"/>
      <c r="G5" s="35"/>
      <c r="H5" s="35"/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267"/>
      <c r="AJ5" s="267"/>
    </row>
    <row r="6" spans="1:36" ht="15.75" x14ac:dyDescent="0.25">
      <c r="A6" s="31" t="s">
        <v>5</v>
      </c>
      <c r="B6" s="27"/>
      <c r="C6" s="231" t="s">
        <v>369</v>
      </c>
      <c r="D6" s="31"/>
      <c r="E6" s="31"/>
      <c r="F6" s="31"/>
      <c r="G6" s="35"/>
      <c r="H6" s="35"/>
      <c r="I6" s="35"/>
      <c r="J6" s="35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267"/>
      <c r="AJ6" s="267"/>
    </row>
    <row r="7" spans="1:36" s="20" customFormat="1" ht="15.75" x14ac:dyDescent="0.25">
      <c r="A7" s="31"/>
      <c r="B7" s="27"/>
      <c r="C7" s="231" t="s">
        <v>487</v>
      </c>
      <c r="D7" s="43"/>
      <c r="E7" s="44"/>
      <c r="F7" s="31"/>
      <c r="G7" s="35"/>
      <c r="H7" s="35"/>
      <c r="I7" s="35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267"/>
      <c r="AJ7" s="267"/>
    </row>
    <row r="8" spans="1:36" ht="15.75" x14ac:dyDescent="0.25">
      <c r="A8" s="31"/>
      <c r="B8" s="27"/>
      <c r="C8" s="31"/>
      <c r="D8" s="31"/>
      <c r="E8" s="31"/>
      <c r="F8" s="31"/>
      <c r="G8" s="35"/>
      <c r="H8" s="35"/>
      <c r="I8" s="35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267"/>
      <c r="AJ8" s="267"/>
    </row>
    <row r="9" spans="1:36" ht="15.75" x14ac:dyDescent="0.25">
      <c r="A9" s="31" t="s">
        <v>388</v>
      </c>
      <c r="B9" s="27"/>
      <c r="C9" s="31" t="s">
        <v>481</v>
      </c>
      <c r="D9" s="31"/>
      <c r="E9" s="31"/>
      <c r="F9" s="33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267"/>
      <c r="AJ9" s="267"/>
    </row>
    <row r="10" spans="1:36" ht="15.75" x14ac:dyDescent="0.25">
      <c r="A10" s="31" t="s">
        <v>389</v>
      </c>
      <c r="B10" s="27"/>
      <c r="C10" s="31" t="s">
        <v>390</v>
      </c>
      <c r="D10" s="31"/>
      <c r="E10" s="31"/>
      <c r="F10" s="33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267"/>
      <c r="AJ10" s="267"/>
    </row>
    <row r="11" spans="1:36" s="20" customFormat="1" ht="16.5" thickBot="1" x14ac:dyDescent="0.3">
      <c r="A11" s="31" t="s">
        <v>438</v>
      </c>
      <c r="B11" s="27"/>
      <c r="C11" s="31" t="s">
        <v>478</v>
      </c>
      <c r="D11" s="31"/>
      <c r="E11" s="31"/>
      <c r="F11" s="3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267"/>
      <c r="AJ11" s="267"/>
    </row>
    <row r="12" spans="1:36" s="5" customFormat="1" ht="32.25" customHeight="1" thickBot="1" x14ac:dyDescent="0.3">
      <c r="A12" s="128" t="s">
        <v>370</v>
      </c>
      <c r="B12" s="129" t="s">
        <v>371</v>
      </c>
      <c r="C12" s="137" t="s">
        <v>372</v>
      </c>
      <c r="D12" s="129" t="s">
        <v>394</v>
      </c>
      <c r="E12" s="139" t="s">
        <v>434</v>
      </c>
      <c r="F12" s="131" t="s">
        <v>373</v>
      </c>
      <c r="G12" s="195" t="s">
        <v>374</v>
      </c>
      <c r="H12" s="132" t="s">
        <v>385</v>
      </c>
      <c r="I12" s="132" t="s">
        <v>386</v>
      </c>
      <c r="J12" s="132" t="s">
        <v>387</v>
      </c>
      <c r="K12" s="132" t="s">
        <v>450</v>
      </c>
      <c r="L12" s="132" t="s">
        <v>451</v>
      </c>
      <c r="M12" s="132" t="s">
        <v>452</v>
      </c>
      <c r="N12" s="132" t="s">
        <v>453</v>
      </c>
      <c r="O12" s="132" t="s">
        <v>454</v>
      </c>
      <c r="P12" s="132" t="s">
        <v>455</v>
      </c>
      <c r="Q12" s="132" t="s">
        <v>456</v>
      </c>
      <c r="R12" s="132" t="s">
        <v>457</v>
      </c>
      <c r="S12" s="132" t="s">
        <v>458</v>
      </c>
      <c r="T12" s="132" t="s">
        <v>447</v>
      </c>
      <c r="U12" s="132" t="s">
        <v>448</v>
      </c>
      <c r="V12" s="132" t="s">
        <v>449</v>
      </c>
      <c r="W12" s="132" t="s">
        <v>464</v>
      </c>
      <c r="X12" s="132" t="s">
        <v>465</v>
      </c>
      <c r="Y12" s="132" t="s">
        <v>466</v>
      </c>
      <c r="Z12" s="132" t="s">
        <v>467</v>
      </c>
      <c r="AA12" s="132" t="s">
        <v>468</v>
      </c>
      <c r="AB12" s="132" t="s">
        <v>469</v>
      </c>
      <c r="AC12" s="132" t="s">
        <v>470</v>
      </c>
      <c r="AD12" s="132" t="s">
        <v>471</v>
      </c>
      <c r="AE12" s="132" t="s">
        <v>472</v>
      </c>
      <c r="AF12" s="132" t="s">
        <v>473</v>
      </c>
      <c r="AG12" s="132" t="s">
        <v>474</v>
      </c>
      <c r="AH12" s="132" t="s">
        <v>475</v>
      </c>
      <c r="AI12" s="132" t="s">
        <v>508</v>
      </c>
      <c r="AJ12" s="132" t="s">
        <v>509</v>
      </c>
    </row>
    <row r="13" spans="1:36" ht="16.5" thickBot="1" x14ac:dyDescent="0.3">
      <c r="A13" s="145" t="s">
        <v>8</v>
      </c>
      <c r="B13" s="146" t="s">
        <v>186</v>
      </c>
      <c r="C13" s="238">
        <v>10944</v>
      </c>
      <c r="D13" s="281"/>
      <c r="E13" s="106"/>
      <c r="F13" s="106">
        <f>SUM(H13:AJ13)</f>
        <v>10171</v>
      </c>
      <c r="G13" s="106">
        <f t="shared" ref="G13:G44" si="0">IF(ISBLANK(E13),C13-F13,C13-E13)</f>
        <v>773</v>
      </c>
      <c r="S13" s="100"/>
      <c r="U13" s="196"/>
      <c r="V13" s="100"/>
      <c r="AD13" s="2">
        <v>3046</v>
      </c>
      <c r="AF13" s="100">
        <v>3384</v>
      </c>
      <c r="AG13" s="100">
        <v>3741</v>
      </c>
      <c r="AH13" s="100"/>
      <c r="AI13" s="100"/>
      <c r="AJ13" s="100"/>
    </row>
    <row r="14" spans="1:36" ht="16.5" thickBot="1" x14ac:dyDescent="0.3">
      <c r="A14" s="145" t="s">
        <v>9</v>
      </c>
      <c r="B14" s="146" t="s">
        <v>187</v>
      </c>
      <c r="C14" s="238">
        <v>169208</v>
      </c>
      <c r="D14" s="281"/>
      <c r="E14" s="106"/>
      <c r="F14" s="291">
        <f t="shared" ref="F14:F77" si="1">SUM(H14:AJ14)</f>
        <v>165932</v>
      </c>
      <c r="G14" s="106">
        <f t="shared" si="0"/>
        <v>3276</v>
      </c>
      <c r="O14" s="100">
        <v>44564</v>
      </c>
      <c r="P14" s="100">
        <v>7760</v>
      </c>
      <c r="Q14" s="100">
        <v>7386</v>
      </c>
      <c r="R14" s="100">
        <v>8690</v>
      </c>
      <c r="S14" s="100">
        <f>33640+21522</f>
        <v>55162</v>
      </c>
      <c r="U14" s="100">
        <v>27370</v>
      </c>
      <c r="V14" s="100"/>
      <c r="W14" s="100">
        <v>5442</v>
      </c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>
        <v>9558</v>
      </c>
      <c r="AJ14" s="100"/>
    </row>
    <row r="15" spans="1:36" ht="16.5" hidden="1" thickBot="1" x14ac:dyDescent="0.3">
      <c r="A15" s="145" t="s">
        <v>10</v>
      </c>
      <c r="B15" s="146" t="s">
        <v>188</v>
      </c>
      <c r="C15" s="238">
        <v>0</v>
      </c>
      <c r="D15" s="281"/>
      <c r="E15" s="106"/>
      <c r="F15" s="291">
        <f t="shared" si="1"/>
        <v>0</v>
      </c>
      <c r="G15" s="106">
        <f t="shared" si="0"/>
        <v>0</v>
      </c>
    </row>
    <row r="16" spans="1:36" ht="16.5" thickBot="1" x14ac:dyDescent="0.3">
      <c r="A16" s="145" t="s">
        <v>11</v>
      </c>
      <c r="B16" s="146" t="s">
        <v>189</v>
      </c>
      <c r="C16" s="238">
        <v>10102</v>
      </c>
      <c r="D16" s="281"/>
      <c r="E16" s="106"/>
      <c r="F16" s="291">
        <f t="shared" si="1"/>
        <v>10102</v>
      </c>
      <c r="G16" s="106">
        <f t="shared" si="0"/>
        <v>0</v>
      </c>
      <c r="L16" s="100">
        <v>5062</v>
      </c>
      <c r="M16" s="100"/>
      <c r="N16" s="100">
        <v>5040</v>
      </c>
    </row>
    <row r="17" spans="1:36" ht="16.5" hidden="1" thickBot="1" x14ac:dyDescent="0.3">
      <c r="A17" s="145" t="s">
        <v>12</v>
      </c>
      <c r="B17" s="146" t="s">
        <v>190</v>
      </c>
      <c r="C17" s="238">
        <v>0</v>
      </c>
      <c r="D17" s="281"/>
      <c r="E17" s="106"/>
      <c r="F17" s="291">
        <f t="shared" si="1"/>
        <v>0</v>
      </c>
      <c r="G17" s="106">
        <f t="shared" si="0"/>
        <v>0</v>
      </c>
    </row>
    <row r="18" spans="1:36" ht="16.5" hidden="1" thickBot="1" x14ac:dyDescent="0.3">
      <c r="A18" s="145" t="s">
        <v>13</v>
      </c>
      <c r="B18" s="146" t="s">
        <v>191</v>
      </c>
      <c r="C18" s="238">
        <v>0</v>
      </c>
      <c r="D18" s="281"/>
      <c r="E18" s="106"/>
      <c r="F18" s="291">
        <f t="shared" si="1"/>
        <v>0</v>
      </c>
      <c r="G18" s="106">
        <f t="shared" si="0"/>
        <v>0</v>
      </c>
    </row>
    <row r="19" spans="1:36" ht="16.5" hidden="1" thickBot="1" x14ac:dyDescent="0.3">
      <c r="A19" s="145" t="s">
        <v>14</v>
      </c>
      <c r="B19" s="146" t="s">
        <v>192</v>
      </c>
      <c r="C19" s="238">
        <v>0</v>
      </c>
      <c r="D19" s="281"/>
      <c r="E19" s="106"/>
      <c r="F19" s="291">
        <f t="shared" si="1"/>
        <v>0</v>
      </c>
      <c r="G19" s="106">
        <f t="shared" si="0"/>
        <v>0</v>
      </c>
    </row>
    <row r="20" spans="1:36" ht="16.5" hidden="1" thickBot="1" x14ac:dyDescent="0.3">
      <c r="A20" s="145" t="s">
        <v>15</v>
      </c>
      <c r="B20" s="146" t="s">
        <v>193</v>
      </c>
      <c r="C20" s="238">
        <v>0</v>
      </c>
      <c r="D20" s="281"/>
      <c r="E20" s="106"/>
      <c r="F20" s="291">
        <f t="shared" si="1"/>
        <v>0</v>
      </c>
      <c r="G20" s="106">
        <f t="shared" si="0"/>
        <v>0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</row>
    <row r="21" spans="1:36" ht="16.5" hidden="1" thickBot="1" x14ac:dyDescent="0.3">
      <c r="A21" s="145" t="s">
        <v>16</v>
      </c>
      <c r="B21" s="146" t="s">
        <v>194</v>
      </c>
      <c r="C21" s="238">
        <v>0</v>
      </c>
      <c r="D21" s="281"/>
      <c r="E21" s="106"/>
      <c r="F21" s="291">
        <f t="shared" si="1"/>
        <v>0</v>
      </c>
      <c r="G21" s="106">
        <f t="shared" si="0"/>
        <v>0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</row>
    <row r="22" spans="1:36" ht="16.5" hidden="1" thickBot="1" x14ac:dyDescent="0.3">
      <c r="A22" s="145" t="s">
        <v>17</v>
      </c>
      <c r="B22" s="146" t="s">
        <v>195</v>
      </c>
      <c r="C22" s="238">
        <v>0</v>
      </c>
      <c r="D22" s="281"/>
      <c r="E22" s="106"/>
      <c r="F22" s="291">
        <f t="shared" si="1"/>
        <v>0</v>
      </c>
      <c r="G22" s="106">
        <f t="shared" si="0"/>
        <v>0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</row>
    <row r="23" spans="1:36" ht="16.5" hidden="1" thickBot="1" x14ac:dyDescent="0.3">
      <c r="A23" s="145" t="s">
        <v>18</v>
      </c>
      <c r="B23" s="146" t="s">
        <v>196</v>
      </c>
      <c r="C23" s="238">
        <v>0</v>
      </c>
      <c r="D23" s="281"/>
      <c r="E23" s="106"/>
      <c r="F23" s="291">
        <f t="shared" si="1"/>
        <v>0</v>
      </c>
      <c r="G23" s="106">
        <f t="shared" si="0"/>
        <v>0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</row>
    <row r="24" spans="1:36" ht="16.5" thickBot="1" x14ac:dyDescent="0.3">
      <c r="A24" s="145" t="s">
        <v>19</v>
      </c>
      <c r="B24" s="146" t="s">
        <v>197</v>
      </c>
      <c r="C24" s="238">
        <v>290432</v>
      </c>
      <c r="D24" s="281"/>
      <c r="E24" s="106"/>
      <c r="F24" s="291">
        <f t="shared" si="1"/>
        <v>290432</v>
      </c>
      <c r="G24" s="106">
        <f t="shared" si="0"/>
        <v>0</v>
      </c>
      <c r="H24" s="100"/>
      <c r="I24" s="100"/>
      <c r="J24" s="100"/>
      <c r="K24" s="100"/>
      <c r="L24" s="100"/>
      <c r="M24" s="100"/>
      <c r="N24" s="100">
        <v>12856</v>
      </c>
      <c r="O24" s="100">
        <v>13123</v>
      </c>
      <c r="P24" s="100">
        <v>15946</v>
      </c>
      <c r="Q24" s="100">
        <v>12005</v>
      </c>
      <c r="R24" s="100">
        <v>11357</v>
      </c>
      <c r="S24" s="100">
        <v>22588</v>
      </c>
      <c r="T24" s="100"/>
      <c r="U24" s="100"/>
      <c r="V24" s="100"/>
      <c r="W24" s="100"/>
      <c r="X24" s="100"/>
      <c r="Y24" s="100">
        <v>32518</v>
      </c>
      <c r="Z24" s="100">
        <f>63262+64799+25738</f>
        <v>153799</v>
      </c>
      <c r="AA24" s="100">
        <v>16240</v>
      </c>
      <c r="AB24" s="100"/>
      <c r="AC24" s="100"/>
      <c r="AD24" s="100"/>
      <c r="AE24" s="100"/>
      <c r="AF24" s="100"/>
      <c r="AG24" s="100"/>
      <c r="AH24" s="100"/>
      <c r="AI24" s="100"/>
      <c r="AJ24" s="100"/>
    </row>
    <row r="25" spans="1:36" ht="16.5" thickBot="1" x14ac:dyDescent="0.3">
      <c r="A25" s="145" t="s">
        <v>20</v>
      </c>
      <c r="B25" s="146" t="s">
        <v>198</v>
      </c>
      <c r="C25" s="238">
        <v>5893</v>
      </c>
      <c r="D25" s="281"/>
      <c r="E25" s="106"/>
      <c r="F25" s="291">
        <f t="shared" si="1"/>
        <v>0</v>
      </c>
      <c r="G25" s="106">
        <f t="shared" si="0"/>
        <v>5893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</row>
    <row r="26" spans="1:36" ht="16.5" hidden="1" thickBot="1" x14ac:dyDescent="0.3">
      <c r="A26" s="145" t="s">
        <v>21</v>
      </c>
      <c r="B26" s="146" t="s">
        <v>199</v>
      </c>
      <c r="C26" s="238">
        <v>0</v>
      </c>
      <c r="D26" s="281"/>
      <c r="E26" s="106"/>
      <c r="F26" s="291">
        <f t="shared" si="1"/>
        <v>0</v>
      </c>
      <c r="G26" s="106">
        <f t="shared" si="0"/>
        <v>0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</row>
    <row r="27" spans="1:36" ht="16.5" thickBot="1" x14ac:dyDescent="0.3">
      <c r="A27" s="145" t="s">
        <v>22</v>
      </c>
      <c r="B27" s="146" t="s">
        <v>200</v>
      </c>
      <c r="C27" s="238">
        <v>97653</v>
      </c>
      <c r="D27" s="281"/>
      <c r="E27" s="106"/>
      <c r="F27" s="291">
        <f t="shared" si="1"/>
        <v>94951</v>
      </c>
      <c r="G27" s="106">
        <f t="shared" si="0"/>
        <v>2702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>
        <v>20793</v>
      </c>
      <c r="Y27" s="100">
        <v>17313</v>
      </c>
      <c r="Z27" s="100"/>
      <c r="AA27" s="100">
        <v>14305</v>
      </c>
      <c r="AB27" s="100">
        <v>7068</v>
      </c>
      <c r="AC27" s="100">
        <v>6941</v>
      </c>
      <c r="AD27" s="100">
        <v>7218</v>
      </c>
      <c r="AE27" s="100">
        <v>7080</v>
      </c>
      <c r="AF27" s="100">
        <v>7186</v>
      </c>
      <c r="AG27" s="100"/>
      <c r="AH27" s="100"/>
      <c r="AI27" s="100">
        <v>7047</v>
      </c>
      <c r="AJ27" s="100"/>
    </row>
    <row r="28" spans="1:36" ht="16.5" thickBot="1" x14ac:dyDescent="0.3">
      <c r="A28" s="145" t="s">
        <v>23</v>
      </c>
      <c r="B28" s="146" t="s">
        <v>201</v>
      </c>
      <c r="C28" s="238">
        <v>0</v>
      </c>
      <c r="D28" s="281"/>
      <c r="E28" s="106"/>
      <c r="F28" s="291">
        <f t="shared" si="1"/>
        <v>0</v>
      </c>
      <c r="G28" s="106">
        <f t="shared" si="0"/>
        <v>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</row>
    <row r="29" spans="1:36" ht="16.5" thickBot="1" x14ac:dyDescent="0.3">
      <c r="A29" s="145" t="s">
        <v>24</v>
      </c>
      <c r="B29" s="146" t="s">
        <v>202</v>
      </c>
      <c r="C29" s="238">
        <v>0</v>
      </c>
      <c r="D29" s="281"/>
      <c r="E29" s="106"/>
      <c r="F29" s="291">
        <f t="shared" si="1"/>
        <v>0</v>
      </c>
      <c r="G29" s="106">
        <f t="shared" si="0"/>
        <v>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</row>
    <row r="30" spans="1:36" ht="16.5" thickBot="1" x14ac:dyDescent="0.3">
      <c r="A30" s="145" t="s">
        <v>25</v>
      </c>
      <c r="B30" s="146" t="s">
        <v>203</v>
      </c>
      <c r="C30" s="238">
        <v>0</v>
      </c>
      <c r="D30" s="281"/>
      <c r="E30" s="106"/>
      <c r="F30" s="291">
        <f t="shared" si="1"/>
        <v>0</v>
      </c>
      <c r="G30" s="106">
        <f t="shared" si="0"/>
        <v>0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</row>
    <row r="31" spans="1:36" ht="16.5" thickBot="1" x14ac:dyDescent="0.3">
      <c r="A31" s="145" t="s">
        <v>26</v>
      </c>
      <c r="B31" s="146" t="s">
        <v>204</v>
      </c>
      <c r="C31" s="238">
        <v>0</v>
      </c>
      <c r="D31" s="281"/>
      <c r="E31" s="106"/>
      <c r="F31" s="291">
        <f t="shared" si="1"/>
        <v>0</v>
      </c>
      <c r="G31" s="106">
        <f t="shared" si="0"/>
        <v>0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</row>
    <row r="32" spans="1:36" ht="16.5" thickBot="1" x14ac:dyDescent="0.3">
      <c r="A32" s="145" t="s">
        <v>27</v>
      </c>
      <c r="B32" s="146" t="s">
        <v>205</v>
      </c>
      <c r="C32" s="238">
        <v>0</v>
      </c>
      <c r="D32" s="281"/>
      <c r="E32" s="106"/>
      <c r="F32" s="291">
        <f t="shared" si="1"/>
        <v>0</v>
      </c>
      <c r="G32" s="106">
        <f t="shared" si="0"/>
        <v>0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</row>
    <row r="33" spans="1:36" ht="16.5" thickBot="1" x14ac:dyDescent="0.3">
      <c r="A33" s="145" t="s">
        <v>28</v>
      </c>
      <c r="B33" s="146" t="s">
        <v>206</v>
      </c>
      <c r="C33" s="238">
        <v>0</v>
      </c>
      <c r="D33" s="281"/>
      <c r="E33" s="106"/>
      <c r="F33" s="291">
        <f t="shared" si="1"/>
        <v>0</v>
      </c>
      <c r="G33" s="106">
        <f t="shared" si="0"/>
        <v>0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</row>
    <row r="34" spans="1:36" ht="16.5" thickBot="1" x14ac:dyDescent="0.3">
      <c r="A34" s="145" t="s">
        <v>29</v>
      </c>
      <c r="B34" s="146" t="s">
        <v>207</v>
      </c>
      <c r="C34" s="238">
        <v>0</v>
      </c>
      <c r="D34" s="281"/>
      <c r="E34" s="106"/>
      <c r="F34" s="291">
        <f t="shared" si="1"/>
        <v>0</v>
      </c>
      <c r="G34" s="106">
        <f t="shared" si="0"/>
        <v>0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</row>
    <row r="35" spans="1:36" ht="16.5" thickBot="1" x14ac:dyDescent="0.3">
      <c r="A35" s="145" t="s">
        <v>30</v>
      </c>
      <c r="B35" s="146" t="s">
        <v>208</v>
      </c>
      <c r="C35" s="238">
        <v>0</v>
      </c>
      <c r="D35" s="281"/>
      <c r="E35" s="106"/>
      <c r="F35" s="291">
        <f t="shared" si="1"/>
        <v>0</v>
      </c>
      <c r="G35" s="106">
        <f t="shared" si="0"/>
        <v>0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</row>
    <row r="36" spans="1:36" ht="16.5" thickBot="1" x14ac:dyDescent="0.3">
      <c r="A36" s="145" t="s">
        <v>31</v>
      </c>
      <c r="B36" s="146" t="s">
        <v>209</v>
      </c>
      <c r="C36" s="238">
        <v>0</v>
      </c>
      <c r="D36" s="281"/>
      <c r="E36" s="106"/>
      <c r="F36" s="291">
        <f t="shared" si="1"/>
        <v>0</v>
      </c>
      <c r="G36" s="106">
        <f t="shared" si="0"/>
        <v>0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</row>
    <row r="37" spans="1:36" ht="16.5" thickBot="1" x14ac:dyDescent="0.3">
      <c r="A37" s="145" t="s">
        <v>32</v>
      </c>
      <c r="B37" s="146" t="s">
        <v>210</v>
      </c>
      <c r="C37" s="238">
        <v>0</v>
      </c>
      <c r="D37" s="281"/>
      <c r="E37" s="106"/>
      <c r="F37" s="291">
        <f t="shared" si="1"/>
        <v>0</v>
      </c>
      <c r="G37" s="106">
        <f t="shared" si="0"/>
        <v>0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</row>
    <row r="38" spans="1:36" ht="16.5" thickBot="1" x14ac:dyDescent="0.3">
      <c r="A38" s="145" t="s">
        <v>33</v>
      </c>
      <c r="B38" s="146" t="s">
        <v>211</v>
      </c>
      <c r="C38" s="238">
        <v>0</v>
      </c>
      <c r="D38" s="281"/>
      <c r="E38" s="106"/>
      <c r="F38" s="291">
        <f t="shared" si="1"/>
        <v>0</v>
      </c>
      <c r="G38" s="106">
        <f t="shared" si="0"/>
        <v>0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</row>
    <row r="39" spans="1:36" ht="16.5" thickBot="1" x14ac:dyDescent="0.3">
      <c r="A39" s="145" t="s">
        <v>34</v>
      </c>
      <c r="B39" s="146" t="s">
        <v>212</v>
      </c>
      <c r="C39" s="238">
        <v>0</v>
      </c>
      <c r="D39" s="281"/>
      <c r="E39" s="106"/>
      <c r="F39" s="291">
        <f t="shared" si="1"/>
        <v>0</v>
      </c>
      <c r="G39" s="106">
        <f t="shared" si="0"/>
        <v>0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</row>
    <row r="40" spans="1:36" ht="16.5" thickBot="1" x14ac:dyDescent="0.3">
      <c r="A40" s="145" t="s">
        <v>35</v>
      </c>
      <c r="B40" s="146" t="s">
        <v>213</v>
      </c>
      <c r="C40" s="238">
        <v>0</v>
      </c>
      <c r="D40" s="281"/>
      <c r="E40" s="106"/>
      <c r="F40" s="291">
        <f t="shared" si="1"/>
        <v>0</v>
      </c>
      <c r="G40" s="106">
        <f t="shared" si="0"/>
        <v>0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</row>
    <row r="41" spans="1:36" ht="16.5" thickBot="1" x14ac:dyDescent="0.3">
      <c r="A41" s="145" t="s">
        <v>36</v>
      </c>
      <c r="B41" s="146" t="s">
        <v>214</v>
      </c>
      <c r="C41" s="238">
        <v>0</v>
      </c>
      <c r="D41" s="281"/>
      <c r="E41" s="106"/>
      <c r="F41" s="291">
        <f t="shared" si="1"/>
        <v>0</v>
      </c>
      <c r="G41" s="106">
        <f t="shared" si="0"/>
        <v>0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1:36" ht="16.5" thickBot="1" x14ac:dyDescent="0.3">
      <c r="A42" s="145" t="s">
        <v>37</v>
      </c>
      <c r="B42" s="146" t="s">
        <v>215</v>
      </c>
      <c r="C42" s="238">
        <v>0</v>
      </c>
      <c r="D42" s="281"/>
      <c r="E42" s="106"/>
      <c r="F42" s="291">
        <f t="shared" si="1"/>
        <v>0</v>
      </c>
      <c r="G42" s="106">
        <f t="shared" si="0"/>
        <v>0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</row>
    <row r="43" spans="1:36" ht="16.5" thickBot="1" x14ac:dyDescent="0.3">
      <c r="A43" s="145" t="s">
        <v>38</v>
      </c>
      <c r="B43" s="146" t="s">
        <v>506</v>
      </c>
      <c r="C43" s="238">
        <v>0</v>
      </c>
      <c r="D43" s="281"/>
      <c r="E43" s="106"/>
      <c r="F43" s="291">
        <f t="shared" si="1"/>
        <v>0</v>
      </c>
      <c r="G43" s="106">
        <f t="shared" si="0"/>
        <v>0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</row>
    <row r="44" spans="1:36" ht="16.5" thickBot="1" x14ac:dyDescent="0.3">
      <c r="A44" s="145" t="s">
        <v>39</v>
      </c>
      <c r="B44" s="146" t="s">
        <v>217</v>
      </c>
      <c r="C44" s="238">
        <v>0</v>
      </c>
      <c r="D44" s="281"/>
      <c r="E44" s="106"/>
      <c r="F44" s="291">
        <f t="shared" si="1"/>
        <v>0</v>
      </c>
      <c r="G44" s="106">
        <f t="shared" si="0"/>
        <v>0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</row>
    <row r="45" spans="1:36" ht="16.5" thickBot="1" x14ac:dyDescent="0.3">
      <c r="A45" s="145" t="s">
        <v>40</v>
      </c>
      <c r="B45" s="146" t="s">
        <v>218</v>
      </c>
      <c r="C45" s="238">
        <v>0</v>
      </c>
      <c r="D45" s="281"/>
      <c r="E45" s="106"/>
      <c r="F45" s="291">
        <f t="shared" si="1"/>
        <v>0</v>
      </c>
      <c r="G45" s="106">
        <f t="shared" ref="G45:G76" si="2">IF(ISBLANK(E45),C45-F45,C45-E45)</f>
        <v>0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</row>
    <row r="46" spans="1:36" ht="16.5" thickBot="1" x14ac:dyDescent="0.3">
      <c r="A46" s="145" t="s">
        <v>41</v>
      </c>
      <c r="B46" s="146" t="s">
        <v>219</v>
      </c>
      <c r="C46" s="238">
        <v>0</v>
      </c>
      <c r="D46" s="281"/>
      <c r="E46" s="106"/>
      <c r="F46" s="291">
        <f t="shared" si="1"/>
        <v>0</v>
      </c>
      <c r="G46" s="106">
        <f t="shared" si="2"/>
        <v>0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</row>
    <row r="47" spans="1:36" ht="16.5" thickBot="1" x14ac:dyDescent="0.3">
      <c r="A47" s="145" t="s">
        <v>42</v>
      </c>
      <c r="B47" s="147" t="s">
        <v>220</v>
      </c>
      <c r="C47" s="238">
        <v>0</v>
      </c>
      <c r="D47" s="281"/>
      <c r="E47" s="106"/>
      <c r="F47" s="291">
        <f t="shared" si="1"/>
        <v>0</v>
      </c>
      <c r="G47" s="106">
        <f t="shared" si="2"/>
        <v>0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</row>
    <row r="48" spans="1:36" ht="16.5" thickBot="1" x14ac:dyDescent="0.3">
      <c r="A48" s="145" t="s">
        <v>43</v>
      </c>
      <c r="B48" s="146" t="s">
        <v>221</v>
      </c>
      <c r="C48" s="238">
        <v>1684</v>
      </c>
      <c r="D48" s="281">
        <v>9055</v>
      </c>
      <c r="E48" s="106">
        <v>1684</v>
      </c>
      <c r="F48" s="291">
        <f t="shared" si="1"/>
        <v>0</v>
      </c>
      <c r="G48" s="106">
        <f t="shared" si="2"/>
        <v>0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</row>
    <row r="49" spans="1:36" ht="16.5" hidden="1" thickBot="1" x14ac:dyDescent="0.3">
      <c r="A49" s="145" t="s">
        <v>44</v>
      </c>
      <c r="B49" s="146" t="s">
        <v>222</v>
      </c>
      <c r="C49" s="238">
        <v>0</v>
      </c>
      <c r="D49" s="281"/>
      <c r="E49" s="106"/>
      <c r="F49" s="291">
        <f t="shared" si="1"/>
        <v>0</v>
      </c>
      <c r="G49" s="106">
        <f t="shared" si="2"/>
        <v>0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</row>
    <row r="50" spans="1:36" ht="16.5" hidden="1" thickBot="1" x14ac:dyDescent="0.3">
      <c r="A50" s="145" t="s">
        <v>45</v>
      </c>
      <c r="B50" s="146" t="s">
        <v>223</v>
      </c>
      <c r="C50" s="238">
        <v>0</v>
      </c>
      <c r="D50" s="281"/>
      <c r="E50" s="106"/>
      <c r="F50" s="291">
        <f t="shared" si="1"/>
        <v>0</v>
      </c>
      <c r="G50" s="106">
        <f t="shared" si="2"/>
        <v>0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</row>
    <row r="51" spans="1:36" ht="16.5" thickBot="1" x14ac:dyDescent="0.3">
      <c r="A51" s="145" t="s">
        <v>46</v>
      </c>
      <c r="B51" s="146" t="s">
        <v>224</v>
      </c>
      <c r="C51" s="238">
        <v>842</v>
      </c>
      <c r="D51" s="281"/>
      <c r="E51" s="106"/>
      <c r="F51" s="291">
        <f t="shared" si="1"/>
        <v>0</v>
      </c>
      <c r="G51" s="106">
        <f t="shared" si="2"/>
        <v>842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</row>
    <row r="52" spans="1:36" ht="16.5" hidden="1" thickBot="1" x14ac:dyDescent="0.3">
      <c r="A52" s="145" t="s">
        <v>47</v>
      </c>
      <c r="B52" s="146" t="s">
        <v>225</v>
      </c>
      <c r="C52" s="238">
        <v>0</v>
      </c>
      <c r="D52" s="281"/>
      <c r="E52" s="106"/>
      <c r="F52" s="291">
        <f t="shared" si="1"/>
        <v>0</v>
      </c>
      <c r="G52" s="106">
        <f t="shared" si="2"/>
        <v>0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</row>
    <row r="53" spans="1:36" ht="16.5" hidden="1" thickBot="1" x14ac:dyDescent="0.3">
      <c r="A53" s="145" t="s">
        <v>48</v>
      </c>
      <c r="B53" s="146" t="s">
        <v>226</v>
      </c>
      <c r="C53" s="238">
        <v>0</v>
      </c>
      <c r="D53" s="281"/>
      <c r="E53" s="106"/>
      <c r="F53" s="291">
        <f t="shared" si="1"/>
        <v>0</v>
      </c>
      <c r="G53" s="106">
        <f t="shared" si="2"/>
        <v>0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</row>
    <row r="54" spans="1:36" ht="16.5" hidden="1" thickBot="1" x14ac:dyDescent="0.3">
      <c r="A54" s="145" t="s">
        <v>49</v>
      </c>
      <c r="B54" s="146" t="s">
        <v>227</v>
      </c>
      <c r="C54" s="238">
        <v>0</v>
      </c>
      <c r="D54" s="281"/>
      <c r="E54" s="106"/>
      <c r="F54" s="291">
        <f t="shared" si="1"/>
        <v>0</v>
      </c>
      <c r="G54" s="106">
        <f t="shared" si="2"/>
        <v>0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</row>
    <row r="55" spans="1:36" ht="16.5" hidden="1" thickBot="1" x14ac:dyDescent="0.3">
      <c r="A55" s="145" t="s">
        <v>50</v>
      </c>
      <c r="B55" s="146" t="s">
        <v>228</v>
      </c>
      <c r="C55" s="238">
        <v>0</v>
      </c>
      <c r="D55" s="281"/>
      <c r="E55" s="106"/>
      <c r="F55" s="291">
        <f t="shared" si="1"/>
        <v>0</v>
      </c>
      <c r="G55" s="106">
        <f t="shared" si="2"/>
        <v>0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</row>
    <row r="56" spans="1:36" ht="16.5" hidden="1" thickBot="1" x14ac:dyDescent="0.3">
      <c r="A56" s="145" t="s">
        <v>51</v>
      </c>
      <c r="B56" s="146" t="s">
        <v>229</v>
      </c>
      <c r="C56" s="238">
        <v>0</v>
      </c>
      <c r="D56" s="281"/>
      <c r="E56" s="106"/>
      <c r="F56" s="291">
        <f t="shared" si="1"/>
        <v>0</v>
      </c>
      <c r="G56" s="106">
        <f t="shared" si="2"/>
        <v>0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</row>
    <row r="57" spans="1:36" ht="16.5" hidden="1" thickBot="1" x14ac:dyDescent="0.3">
      <c r="A57" s="145" t="s">
        <v>52</v>
      </c>
      <c r="B57" s="146" t="s">
        <v>230</v>
      </c>
      <c r="C57" s="238">
        <v>0</v>
      </c>
      <c r="D57" s="281"/>
      <c r="E57" s="106"/>
      <c r="F57" s="291">
        <f t="shared" si="1"/>
        <v>0</v>
      </c>
      <c r="G57" s="106">
        <f t="shared" si="2"/>
        <v>0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</row>
    <row r="58" spans="1:36" ht="16.5" hidden="1" thickBot="1" x14ac:dyDescent="0.3">
      <c r="A58" s="145" t="s">
        <v>53</v>
      </c>
      <c r="B58" s="146" t="s">
        <v>231</v>
      </c>
      <c r="C58" s="238">
        <v>0</v>
      </c>
      <c r="D58" s="281"/>
      <c r="E58" s="106"/>
      <c r="F58" s="291">
        <f t="shared" si="1"/>
        <v>0</v>
      </c>
      <c r="G58" s="106">
        <f t="shared" si="2"/>
        <v>0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</row>
    <row r="59" spans="1:36" ht="16.5" hidden="1" thickBot="1" x14ac:dyDescent="0.3">
      <c r="A59" s="145" t="s">
        <v>54</v>
      </c>
      <c r="B59" s="146" t="s">
        <v>232</v>
      </c>
      <c r="C59" s="238">
        <v>0</v>
      </c>
      <c r="D59" s="281"/>
      <c r="E59" s="106"/>
      <c r="F59" s="291">
        <f t="shared" si="1"/>
        <v>0</v>
      </c>
      <c r="G59" s="106">
        <f t="shared" si="2"/>
        <v>0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</row>
    <row r="60" spans="1:36" ht="16.5" hidden="1" thickBot="1" x14ac:dyDescent="0.3">
      <c r="A60" s="145" t="s">
        <v>55</v>
      </c>
      <c r="B60" s="146" t="s">
        <v>233</v>
      </c>
      <c r="C60" s="238">
        <v>0</v>
      </c>
      <c r="D60" s="281"/>
      <c r="E60" s="106"/>
      <c r="F60" s="291">
        <f t="shared" si="1"/>
        <v>0</v>
      </c>
      <c r="G60" s="106">
        <f t="shared" si="2"/>
        <v>0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</row>
    <row r="61" spans="1:36" ht="16.5" hidden="1" thickBot="1" x14ac:dyDescent="0.3">
      <c r="A61" s="145" t="s">
        <v>56</v>
      </c>
      <c r="B61" s="146" t="s">
        <v>234</v>
      </c>
      <c r="C61" s="238">
        <v>0</v>
      </c>
      <c r="D61" s="281"/>
      <c r="E61" s="106"/>
      <c r="F61" s="291">
        <f t="shared" si="1"/>
        <v>0</v>
      </c>
      <c r="G61" s="106">
        <f t="shared" si="2"/>
        <v>0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</row>
    <row r="62" spans="1:36" ht="16.5" hidden="1" thickBot="1" x14ac:dyDescent="0.3">
      <c r="A62" s="145" t="s">
        <v>57</v>
      </c>
      <c r="B62" s="146" t="s">
        <v>235</v>
      </c>
      <c r="C62" s="238">
        <v>0</v>
      </c>
      <c r="D62" s="281"/>
      <c r="E62" s="106"/>
      <c r="F62" s="291">
        <f t="shared" si="1"/>
        <v>0</v>
      </c>
      <c r="G62" s="106">
        <f t="shared" si="2"/>
        <v>0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</row>
    <row r="63" spans="1:36" ht="16.5" hidden="1" thickBot="1" x14ac:dyDescent="0.3">
      <c r="A63" s="145" t="s">
        <v>58</v>
      </c>
      <c r="B63" s="146" t="s">
        <v>236</v>
      </c>
      <c r="C63" s="238">
        <v>0</v>
      </c>
      <c r="D63" s="281"/>
      <c r="E63" s="106"/>
      <c r="F63" s="291">
        <f t="shared" si="1"/>
        <v>0</v>
      </c>
      <c r="G63" s="106">
        <f t="shared" si="2"/>
        <v>0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</row>
    <row r="64" spans="1:36" ht="16.5" hidden="1" thickBot="1" x14ac:dyDescent="0.3">
      <c r="A64" s="145" t="s">
        <v>59</v>
      </c>
      <c r="B64" s="146" t="s">
        <v>237</v>
      </c>
      <c r="C64" s="238">
        <v>0</v>
      </c>
      <c r="D64" s="281"/>
      <c r="E64" s="106"/>
      <c r="F64" s="291">
        <f t="shared" si="1"/>
        <v>0</v>
      </c>
      <c r="G64" s="106">
        <f t="shared" si="2"/>
        <v>0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</row>
    <row r="65" spans="1:36" ht="16.5" thickBot="1" x14ac:dyDescent="0.3">
      <c r="A65" s="145" t="s">
        <v>60</v>
      </c>
      <c r="B65" s="146" t="s">
        <v>238</v>
      </c>
      <c r="C65" s="238">
        <v>117857</v>
      </c>
      <c r="D65" s="281"/>
      <c r="E65" s="106"/>
      <c r="F65" s="291">
        <f t="shared" si="1"/>
        <v>58283</v>
      </c>
      <c r="G65" s="106">
        <f t="shared" si="2"/>
        <v>59574</v>
      </c>
      <c r="H65" s="100"/>
      <c r="I65" s="100"/>
      <c r="J65" s="100"/>
      <c r="K65" s="100"/>
      <c r="L65" s="100"/>
      <c r="M65" s="100"/>
      <c r="N65" s="100"/>
      <c r="O65" s="100"/>
      <c r="P65" s="100">
        <v>456</v>
      </c>
      <c r="Q65" s="100">
        <v>349</v>
      </c>
      <c r="R65" s="100">
        <v>357</v>
      </c>
      <c r="S65" s="100">
        <f>719+1901</f>
        <v>2620</v>
      </c>
      <c r="T65" s="100"/>
      <c r="U65" s="100">
        <v>18613</v>
      </c>
      <c r="V65" s="100"/>
      <c r="W65" s="100"/>
      <c r="X65" s="100"/>
      <c r="Y65" s="100"/>
      <c r="Z65" s="100"/>
      <c r="AA65" s="100"/>
      <c r="AB65" s="100"/>
      <c r="AC65" s="100"/>
      <c r="AD65" s="100">
        <v>195</v>
      </c>
      <c r="AE65" s="100">
        <v>847</v>
      </c>
      <c r="AF65" s="100">
        <v>3562</v>
      </c>
      <c r="AG65" s="100">
        <v>31284</v>
      </c>
      <c r="AH65" s="100"/>
      <c r="AI65" s="100"/>
      <c r="AJ65" s="100"/>
    </row>
    <row r="66" spans="1:36" ht="16.5" thickBot="1" x14ac:dyDescent="0.3">
      <c r="A66" s="145" t="s">
        <v>61</v>
      </c>
      <c r="B66" s="146" t="s">
        <v>239</v>
      </c>
      <c r="C66" s="238">
        <v>9260</v>
      </c>
      <c r="D66" s="281"/>
      <c r="E66" s="106"/>
      <c r="F66" s="291">
        <f t="shared" si="1"/>
        <v>9260</v>
      </c>
      <c r="G66" s="106">
        <f t="shared" si="2"/>
        <v>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>
        <v>9260</v>
      </c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</row>
    <row r="67" spans="1:36" ht="16.5" thickBot="1" x14ac:dyDescent="0.3">
      <c r="A67" s="145" t="s">
        <v>62</v>
      </c>
      <c r="B67" s="146" t="s">
        <v>240</v>
      </c>
      <c r="C67" s="238">
        <v>1684</v>
      </c>
      <c r="D67" s="281"/>
      <c r="E67" s="106"/>
      <c r="F67" s="291">
        <f t="shared" si="1"/>
        <v>1684</v>
      </c>
      <c r="G67" s="106">
        <f t="shared" si="2"/>
        <v>0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>
        <v>1684</v>
      </c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</row>
    <row r="68" spans="1:36" ht="16.5" hidden="1" thickBot="1" x14ac:dyDescent="0.3">
      <c r="A68" s="145" t="s">
        <v>63</v>
      </c>
      <c r="B68" s="146" t="s">
        <v>241</v>
      </c>
      <c r="C68" s="238">
        <v>0</v>
      </c>
      <c r="D68" s="281"/>
      <c r="E68" s="106"/>
      <c r="F68" s="291">
        <f t="shared" si="1"/>
        <v>0</v>
      </c>
      <c r="G68" s="106">
        <f t="shared" si="2"/>
        <v>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</row>
    <row r="69" spans="1:36" ht="16.5" hidden="1" thickBot="1" x14ac:dyDescent="0.3">
      <c r="A69" s="145" t="s">
        <v>64</v>
      </c>
      <c r="B69" s="146" t="s">
        <v>242</v>
      </c>
      <c r="C69" s="238">
        <v>0</v>
      </c>
      <c r="D69" s="281"/>
      <c r="E69" s="106"/>
      <c r="F69" s="291">
        <f t="shared" si="1"/>
        <v>0</v>
      </c>
      <c r="G69" s="106">
        <f t="shared" si="2"/>
        <v>0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</row>
    <row r="70" spans="1:36" ht="16.5" hidden="1" thickBot="1" x14ac:dyDescent="0.3">
      <c r="A70" s="145" t="s">
        <v>65</v>
      </c>
      <c r="B70" s="146" t="s">
        <v>243</v>
      </c>
      <c r="C70" s="238">
        <v>0</v>
      </c>
      <c r="D70" s="281"/>
      <c r="E70" s="106"/>
      <c r="F70" s="291">
        <f t="shared" si="1"/>
        <v>0</v>
      </c>
      <c r="G70" s="106">
        <f t="shared" si="2"/>
        <v>0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</row>
    <row r="71" spans="1:36" ht="16.5" hidden="1" thickBot="1" x14ac:dyDescent="0.3">
      <c r="A71" s="145" t="s">
        <v>66</v>
      </c>
      <c r="B71" s="146" t="s">
        <v>244</v>
      </c>
      <c r="C71" s="238">
        <v>0</v>
      </c>
      <c r="D71" s="281"/>
      <c r="E71" s="106"/>
      <c r="F71" s="291">
        <f t="shared" si="1"/>
        <v>0</v>
      </c>
      <c r="G71" s="106">
        <f t="shared" si="2"/>
        <v>0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</row>
    <row r="72" spans="1:36" ht="16.5" hidden="1" thickBot="1" x14ac:dyDescent="0.3">
      <c r="A72" s="145" t="s">
        <v>67</v>
      </c>
      <c r="B72" s="146" t="s">
        <v>245</v>
      </c>
      <c r="C72" s="238">
        <v>0</v>
      </c>
      <c r="D72" s="281"/>
      <c r="E72" s="106"/>
      <c r="F72" s="291">
        <f t="shared" si="1"/>
        <v>0</v>
      </c>
      <c r="G72" s="106">
        <f t="shared" si="2"/>
        <v>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</row>
    <row r="73" spans="1:36" ht="16.5" thickBot="1" x14ac:dyDescent="0.3">
      <c r="A73" s="145" t="s">
        <v>68</v>
      </c>
      <c r="B73" s="146" t="s">
        <v>246</v>
      </c>
      <c r="C73" s="238">
        <v>2525</v>
      </c>
      <c r="D73" s="281"/>
      <c r="E73" s="106"/>
      <c r="F73" s="291">
        <f t="shared" si="1"/>
        <v>658</v>
      </c>
      <c r="G73" s="106">
        <f t="shared" si="2"/>
        <v>1867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>
        <v>406</v>
      </c>
      <c r="V73" s="100"/>
      <c r="W73" s="100"/>
      <c r="X73" s="100"/>
      <c r="Y73" s="100"/>
      <c r="Z73" s="100"/>
      <c r="AA73" s="100">
        <v>63</v>
      </c>
      <c r="AB73" s="100"/>
      <c r="AC73" s="100">
        <v>63</v>
      </c>
      <c r="AD73" s="100">
        <v>63</v>
      </c>
      <c r="AE73" s="100">
        <v>63</v>
      </c>
      <c r="AF73" s="100"/>
      <c r="AG73" s="100"/>
      <c r="AH73" s="100"/>
      <c r="AI73" s="100"/>
      <c r="AJ73" s="100"/>
    </row>
    <row r="74" spans="1:36" ht="16.5" hidden="1" thickBot="1" x14ac:dyDescent="0.3">
      <c r="A74" s="145" t="s">
        <v>69</v>
      </c>
      <c r="B74" s="146" t="s">
        <v>247</v>
      </c>
      <c r="C74" s="238">
        <v>0</v>
      </c>
      <c r="D74" s="281"/>
      <c r="E74" s="106"/>
      <c r="F74" s="291">
        <f t="shared" si="1"/>
        <v>0</v>
      </c>
      <c r="G74" s="106">
        <f t="shared" si="2"/>
        <v>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</row>
    <row r="75" spans="1:36" ht="16.5" hidden="1" thickBot="1" x14ac:dyDescent="0.3">
      <c r="A75" s="145" t="s">
        <v>70</v>
      </c>
      <c r="B75" s="146" t="s">
        <v>248</v>
      </c>
      <c r="C75" s="238">
        <v>0</v>
      </c>
      <c r="D75" s="281"/>
      <c r="E75" s="106"/>
      <c r="F75" s="291">
        <f t="shared" si="1"/>
        <v>0</v>
      </c>
      <c r="G75" s="106">
        <f t="shared" si="2"/>
        <v>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</row>
    <row r="76" spans="1:36" ht="16.5" hidden="1" thickBot="1" x14ac:dyDescent="0.3">
      <c r="A76" s="145" t="s">
        <v>71</v>
      </c>
      <c r="B76" s="146" t="s">
        <v>249</v>
      </c>
      <c r="C76" s="238">
        <v>0</v>
      </c>
      <c r="D76" s="281"/>
      <c r="E76" s="106"/>
      <c r="F76" s="291">
        <f t="shared" si="1"/>
        <v>0</v>
      </c>
      <c r="G76" s="106">
        <f t="shared" si="2"/>
        <v>0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</row>
    <row r="77" spans="1:36" ht="16.5" hidden="1" thickBot="1" x14ac:dyDescent="0.3">
      <c r="A77" s="145" t="s">
        <v>72</v>
      </c>
      <c r="B77" s="146" t="s">
        <v>250</v>
      </c>
      <c r="C77" s="238">
        <v>0</v>
      </c>
      <c r="D77" s="281"/>
      <c r="E77" s="106"/>
      <c r="F77" s="291">
        <f t="shared" si="1"/>
        <v>0</v>
      </c>
      <c r="G77" s="106">
        <f t="shared" ref="G77:G108" si="3">IF(ISBLANK(E77),C77-F77,C77-E77)</f>
        <v>0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</row>
    <row r="78" spans="1:36" ht="16.5" hidden="1" thickBot="1" x14ac:dyDescent="0.3">
      <c r="A78" s="145" t="s">
        <v>73</v>
      </c>
      <c r="B78" s="146" t="s">
        <v>251</v>
      </c>
      <c r="C78" s="238">
        <v>0</v>
      </c>
      <c r="D78" s="281"/>
      <c r="E78" s="106"/>
      <c r="F78" s="291">
        <f t="shared" ref="F78:F141" si="4">SUM(H78:AJ78)</f>
        <v>0</v>
      </c>
      <c r="G78" s="106">
        <f t="shared" si="3"/>
        <v>0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</row>
    <row r="79" spans="1:36" ht="16.5" hidden="1" thickBot="1" x14ac:dyDescent="0.3">
      <c r="A79" s="145" t="s">
        <v>74</v>
      </c>
      <c r="B79" s="146" t="s">
        <v>252</v>
      </c>
      <c r="C79" s="238">
        <v>0</v>
      </c>
      <c r="D79" s="281"/>
      <c r="E79" s="106"/>
      <c r="F79" s="291">
        <f t="shared" si="4"/>
        <v>0</v>
      </c>
      <c r="G79" s="106">
        <f t="shared" si="3"/>
        <v>0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</row>
    <row r="80" spans="1:36" ht="16.5" hidden="1" thickBot="1" x14ac:dyDescent="0.3">
      <c r="A80" s="145" t="s">
        <v>75</v>
      </c>
      <c r="B80" s="146" t="s">
        <v>253</v>
      </c>
      <c r="C80" s="238">
        <v>0</v>
      </c>
      <c r="D80" s="281"/>
      <c r="E80" s="106"/>
      <c r="F80" s="291">
        <f t="shared" si="4"/>
        <v>0</v>
      </c>
      <c r="G80" s="106">
        <f t="shared" si="3"/>
        <v>0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</row>
    <row r="81" spans="1:36" ht="16.5" hidden="1" thickBot="1" x14ac:dyDescent="0.3">
      <c r="A81" s="145" t="s">
        <v>76</v>
      </c>
      <c r="B81" s="146" t="s">
        <v>254</v>
      </c>
      <c r="C81" s="238">
        <v>0</v>
      </c>
      <c r="D81" s="281"/>
      <c r="E81" s="106"/>
      <c r="F81" s="291">
        <f t="shared" si="4"/>
        <v>0</v>
      </c>
      <c r="G81" s="106">
        <f t="shared" si="3"/>
        <v>0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</row>
    <row r="82" spans="1:36" ht="16.5" hidden="1" thickBot="1" x14ac:dyDescent="0.3">
      <c r="A82" s="145" t="s">
        <v>77</v>
      </c>
      <c r="B82" s="146" t="s">
        <v>255</v>
      </c>
      <c r="C82" s="238">
        <v>0</v>
      </c>
      <c r="D82" s="281"/>
      <c r="E82" s="106"/>
      <c r="F82" s="291">
        <f t="shared" si="4"/>
        <v>0</v>
      </c>
      <c r="G82" s="106">
        <f t="shared" si="3"/>
        <v>0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</row>
    <row r="83" spans="1:36" ht="16.5" hidden="1" thickBot="1" x14ac:dyDescent="0.3">
      <c r="A83" s="145" t="s">
        <v>78</v>
      </c>
      <c r="B83" s="146" t="s">
        <v>256</v>
      </c>
      <c r="C83" s="238">
        <v>0</v>
      </c>
      <c r="D83" s="281"/>
      <c r="E83" s="106"/>
      <c r="F83" s="291">
        <f t="shared" si="4"/>
        <v>0</v>
      </c>
      <c r="G83" s="106">
        <f t="shared" si="3"/>
        <v>0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</row>
    <row r="84" spans="1:36" ht="16.5" thickBot="1" x14ac:dyDescent="0.3">
      <c r="A84" s="145" t="s">
        <v>79</v>
      </c>
      <c r="B84" s="146" t="s">
        <v>257</v>
      </c>
      <c r="C84" s="238">
        <v>1684</v>
      </c>
      <c r="D84" s="281">
        <v>9095</v>
      </c>
      <c r="E84" s="106">
        <v>1684</v>
      </c>
      <c r="F84" s="291">
        <f t="shared" si="4"/>
        <v>0</v>
      </c>
      <c r="G84" s="106">
        <f t="shared" si="3"/>
        <v>0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</row>
    <row r="85" spans="1:36" ht="16.5" hidden="1" thickBot="1" x14ac:dyDescent="0.3">
      <c r="A85" s="145" t="s">
        <v>80</v>
      </c>
      <c r="B85" s="146" t="s">
        <v>258</v>
      </c>
      <c r="C85" s="238">
        <v>0</v>
      </c>
      <c r="D85" s="281"/>
      <c r="E85" s="106"/>
      <c r="F85" s="291">
        <f t="shared" si="4"/>
        <v>0</v>
      </c>
      <c r="G85" s="106">
        <f t="shared" si="3"/>
        <v>0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</row>
    <row r="86" spans="1:36" ht="16.5" hidden="1" thickBot="1" x14ac:dyDescent="0.3">
      <c r="A86" s="145" t="s">
        <v>81</v>
      </c>
      <c r="B86" s="146" t="s">
        <v>259</v>
      </c>
      <c r="C86" s="238">
        <v>0</v>
      </c>
      <c r="D86" s="281"/>
      <c r="E86" s="106"/>
      <c r="F86" s="291">
        <f t="shared" si="4"/>
        <v>0</v>
      </c>
      <c r="G86" s="106">
        <f t="shared" si="3"/>
        <v>0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</row>
    <row r="87" spans="1:36" ht="16.5" hidden="1" thickBot="1" x14ac:dyDescent="0.3">
      <c r="A87" s="145" t="s">
        <v>82</v>
      </c>
      <c r="B87" s="146" t="s">
        <v>260</v>
      </c>
      <c r="C87" s="238">
        <v>0</v>
      </c>
      <c r="D87" s="281"/>
      <c r="E87" s="106"/>
      <c r="F87" s="291">
        <f t="shared" si="4"/>
        <v>0</v>
      </c>
      <c r="G87" s="106">
        <f t="shared" si="3"/>
        <v>0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</row>
    <row r="88" spans="1:36" ht="16.5" hidden="1" thickBot="1" x14ac:dyDescent="0.3">
      <c r="A88" s="145" t="s">
        <v>83</v>
      </c>
      <c r="B88" s="146" t="s">
        <v>261</v>
      </c>
      <c r="C88" s="238">
        <v>0</v>
      </c>
      <c r="D88" s="281"/>
      <c r="E88" s="106"/>
      <c r="F88" s="291">
        <f t="shared" si="4"/>
        <v>0</v>
      </c>
      <c r="G88" s="106">
        <f t="shared" si="3"/>
        <v>0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</row>
    <row r="89" spans="1:36" ht="16.5" hidden="1" thickBot="1" x14ac:dyDescent="0.3">
      <c r="A89" s="145" t="s">
        <v>84</v>
      </c>
      <c r="B89" s="147" t="s">
        <v>262</v>
      </c>
      <c r="C89" s="238">
        <v>0</v>
      </c>
      <c r="D89" s="281"/>
      <c r="E89" s="106"/>
      <c r="F89" s="291">
        <f t="shared" si="4"/>
        <v>0</v>
      </c>
      <c r="G89" s="106">
        <f t="shared" si="3"/>
        <v>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</row>
    <row r="90" spans="1:36" ht="16.5" hidden="1" thickBot="1" x14ac:dyDescent="0.3">
      <c r="A90" s="145" t="s">
        <v>85</v>
      </c>
      <c r="B90" s="146" t="s">
        <v>263</v>
      </c>
      <c r="C90" s="238">
        <v>0</v>
      </c>
      <c r="D90" s="281"/>
      <c r="E90" s="106"/>
      <c r="F90" s="291">
        <f t="shared" si="4"/>
        <v>0</v>
      </c>
      <c r="G90" s="106">
        <f t="shared" si="3"/>
        <v>0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</row>
    <row r="91" spans="1:36" ht="16.5" hidden="1" thickBot="1" x14ac:dyDescent="0.3">
      <c r="A91" s="145" t="s">
        <v>86</v>
      </c>
      <c r="B91" s="146" t="s">
        <v>264</v>
      </c>
      <c r="C91" s="238">
        <v>0</v>
      </c>
      <c r="D91" s="281"/>
      <c r="E91" s="106"/>
      <c r="F91" s="291">
        <f t="shared" si="4"/>
        <v>0</v>
      </c>
      <c r="G91" s="106">
        <f t="shared" si="3"/>
        <v>0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</row>
    <row r="92" spans="1:36" ht="16.5" hidden="1" thickBot="1" x14ac:dyDescent="0.3">
      <c r="A92" s="145" t="s">
        <v>87</v>
      </c>
      <c r="B92" s="146" t="s">
        <v>265</v>
      </c>
      <c r="C92" s="238">
        <v>0</v>
      </c>
      <c r="D92" s="281"/>
      <c r="E92" s="106"/>
      <c r="F92" s="291">
        <f t="shared" si="4"/>
        <v>0</v>
      </c>
      <c r="G92" s="106">
        <f t="shared" si="3"/>
        <v>0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</row>
    <row r="93" spans="1:36" ht="16.5" hidden="1" thickBot="1" x14ac:dyDescent="0.3">
      <c r="A93" s="145" t="s">
        <v>88</v>
      </c>
      <c r="B93" s="146" t="s">
        <v>266</v>
      </c>
      <c r="C93" s="238">
        <v>0</v>
      </c>
      <c r="D93" s="281"/>
      <c r="E93" s="106"/>
      <c r="F93" s="291">
        <f t="shared" si="4"/>
        <v>0</v>
      </c>
      <c r="G93" s="106">
        <f t="shared" si="3"/>
        <v>0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</row>
    <row r="94" spans="1:36" ht="16.5" hidden="1" thickBot="1" x14ac:dyDescent="0.3">
      <c r="A94" s="145" t="s">
        <v>89</v>
      </c>
      <c r="B94" s="146" t="s">
        <v>267</v>
      </c>
      <c r="C94" s="238">
        <v>0</v>
      </c>
      <c r="D94" s="281"/>
      <c r="E94" s="106"/>
      <c r="F94" s="291">
        <f t="shared" si="4"/>
        <v>0</v>
      </c>
      <c r="G94" s="106">
        <f t="shared" si="3"/>
        <v>0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</row>
    <row r="95" spans="1:36" ht="16.5" hidden="1" thickBot="1" x14ac:dyDescent="0.3">
      <c r="A95" s="145" t="s">
        <v>90</v>
      </c>
      <c r="B95" s="146" t="s">
        <v>268</v>
      </c>
      <c r="C95" s="238">
        <v>0</v>
      </c>
      <c r="D95" s="281"/>
      <c r="E95" s="106"/>
      <c r="F95" s="291">
        <f t="shared" si="4"/>
        <v>0</v>
      </c>
      <c r="G95" s="106">
        <f t="shared" si="3"/>
        <v>0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</row>
    <row r="96" spans="1:36" ht="16.5" hidden="1" thickBot="1" x14ac:dyDescent="0.3">
      <c r="A96" s="145" t="s">
        <v>91</v>
      </c>
      <c r="B96" s="146" t="s">
        <v>269</v>
      </c>
      <c r="C96" s="238">
        <v>0</v>
      </c>
      <c r="D96" s="281"/>
      <c r="E96" s="106"/>
      <c r="F96" s="291">
        <f t="shared" si="4"/>
        <v>0</v>
      </c>
      <c r="G96" s="106">
        <f t="shared" si="3"/>
        <v>0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</row>
    <row r="97" spans="1:36" ht="16.5" hidden="1" thickBot="1" x14ac:dyDescent="0.3">
      <c r="A97" s="145" t="s">
        <v>92</v>
      </c>
      <c r="B97" s="146" t="s">
        <v>270</v>
      </c>
      <c r="C97" s="238">
        <v>0</v>
      </c>
      <c r="D97" s="281"/>
      <c r="E97" s="106"/>
      <c r="F97" s="291">
        <f t="shared" si="4"/>
        <v>0</v>
      </c>
      <c r="G97" s="106">
        <f t="shared" si="3"/>
        <v>0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</row>
    <row r="98" spans="1:36" ht="16.5" thickBot="1" x14ac:dyDescent="0.3">
      <c r="A98" s="145" t="s">
        <v>93</v>
      </c>
      <c r="B98" s="146" t="s">
        <v>271</v>
      </c>
      <c r="C98" s="238">
        <v>3367</v>
      </c>
      <c r="D98" s="281"/>
      <c r="E98" s="106"/>
      <c r="F98" s="291">
        <f t="shared" si="4"/>
        <v>3367</v>
      </c>
      <c r="G98" s="106">
        <f t="shared" si="3"/>
        <v>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>
        <v>2927</v>
      </c>
      <c r="T98" s="100"/>
      <c r="U98" s="100"/>
      <c r="V98" s="100">
        <v>440</v>
      </c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</row>
    <row r="99" spans="1:36" ht="16.5" hidden="1" thickBot="1" x14ac:dyDescent="0.3">
      <c r="A99" s="145" t="s">
        <v>94</v>
      </c>
      <c r="B99" s="146" t="s">
        <v>272</v>
      </c>
      <c r="C99" s="238">
        <v>0</v>
      </c>
      <c r="D99" s="281"/>
      <c r="E99" s="106"/>
      <c r="F99" s="291">
        <f t="shared" si="4"/>
        <v>0</v>
      </c>
      <c r="G99" s="106">
        <f t="shared" si="3"/>
        <v>0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</row>
    <row r="100" spans="1:36" ht="16.5" hidden="1" thickBot="1" x14ac:dyDescent="0.3">
      <c r="A100" s="145" t="s">
        <v>95</v>
      </c>
      <c r="B100" s="146" t="s">
        <v>273</v>
      </c>
      <c r="C100" s="238">
        <v>0</v>
      </c>
      <c r="D100" s="281"/>
      <c r="E100" s="106"/>
      <c r="F100" s="291">
        <f t="shared" si="4"/>
        <v>0</v>
      </c>
      <c r="G100" s="106">
        <f t="shared" si="3"/>
        <v>0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</row>
    <row r="101" spans="1:36" ht="16.5" hidden="1" thickBot="1" x14ac:dyDescent="0.3">
      <c r="A101" s="145" t="s">
        <v>96</v>
      </c>
      <c r="B101" s="146" t="s">
        <v>274</v>
      </c>
      <c r="C101" s="238">
        <v>0</v>
      </c>
      <c r="D101" s="281"/>
      <c r="E101" s="106"/>
      <c r="F101" s="291">
        <f t="shared" si="4"/>
        <v>0</v>
      </c>
      <c r="G101" s="106">
        <f t="shared" si="3"/>
        <v>0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</row>
    <row r="102" spans="1:36" ht="16.5" thickBot="1" x14ac:dyDescent="0.3">
      <c r="A102" s="145" t="s">
        <v>97</v>
      </c>
      <c r="B102" s="146" t="s">
        <v>275</v>
      </c>
      <c r="C102" s="238">
        <v>101020</v>
      </c>
      <c r="D102" s="281"/>
      <c r="E102" s="106"/>
      <c r="F102" s="291">
        <f t="shared" si="4"/>
        <v>101020</v>
      </c>
      <c r="G102" s="106">
        <f t="shared" si="3"/>
        <v>0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>
        <v>11864</v>
      </c>
      <c r="Y102" s="100"/>
      <c r="Z102" s="100"/>
      <c r="AA102" s="100"/>
      <c r="AB102" s="100">
        <v>34688</v>
      </c>
      <c r="AC102" s="100"/>
      <c r="AD102" s="100">
        <v>15619</v>
      </c>
      <c r="AE102" s="100"/>
      <c r="AF102" s="100">
        <v>34546</v>
      </c>
      <c r="AG102" s="100"/>
      <c r="AH102" s="100"/>
      <c r="AI102" s="100"/>
      <c r="AJ102" s="100">
        <v>4303</v>
      </c>
    </row>
    <row r="103" spans="1:36" ht="16.5" hidden="1" thickBot="1" x14ac:dyDescent="0.3">
      <c r="A103" s="145" t="s">
        <v>98</v>
      </c>
      <c r="B103" s="146" t="s">
        <v>276</v>
      </c>
      <c r="C103" s="238">
        <v>0</v>
      </c>
      <c r="D103" s="281"/>
      <c r="E103" s="106"/>
      <c r="F103" s="291">
        <f t="shared" si="4"/>
        <v>0</v>
      </c>
      <c r="G103" s="106">
        <f t="shared" si="3"/>
        <v>0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</row>
    <row r="104" spans="1:36" ht="16.5" hidden="1" thickBot="1" x14ac:dyDescent="0.3">
      <c r="A104" s="145" t="s">
        <v>99</v>
      </c>
      <c r="B104" s="146" t="s">
        <v>277</v>
      </c>
      <c r="C104" s="238">
        <v>0</v>
      </c>
      <c r="D104" s="281"/>
      <c r="E104" s="106"/>
      <c r="F104" s="291">
        <f t="shared" si="4"/>
        <v>0</v>
      </c>
      <c r="G104" s="106">
        <f t="shared" si="3"/>
        <v>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</row>
    <row r="105" spans="1:36" ht="16.5" thickBot="1" x14ac:dyDescent="0.3">
      <c r="A105" s="145" t="s">
        <v>100</v>
      </c>
      <c r="B105" s="146" t="s">
        <v>278</v>
      </c>
      <c r="C105" s="238">
        <v>5051</v>
      </c>
      <c r="D105" s="281">
        <v>9060</v>
      </c>
      <c r="E105" s="106">
        <v>5051</v>
      </c>
      <c r="F105" s="291">
        <f t="shared" si="4"/>
        <v>0</v>
      </c>
      <c r="G105" s="106">
        <f t="shared" si="3"/>
        <v>0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</row>
    <row r="106" spans="1:36" ht="16.5" hidden="1" thickBot="1" x14ac:dyDescent="0.3">
      <c r="A106" s="145" t="s">
        <v>101</v>
      </c>
      <c r="B106" s="146" t="s">
        <v>279</v>
      </c>
      <c r="C106" s="238">
        <v>0</v>
      </c>
      <c r="D106" s="281"/>
      <c r="E106" s="106"/>
      <c r="F106" s="291">
        <f t="shared" si="4"/>
        <v>0</v>
      </c>
      <c r="G106" s="106">
        <f t="shared" si="3"/>
        <v>0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</row>
    <row r="107" spans="1:36" ht="16.5" hidden="1" thickBot="1" x14ac:dyDescent="0.3">
      <c r="A107" s="145" t="s">
        <v>102</v>
      </c>
      <c r="B107" s="146" t="s">
        <v>280</v>
      </c>
      <c r="C107" s="238">
        <v>0</v>
      </c>
      <c r="D107" s="281"/>
      <c r="E107" s="106"/>
      <c r="F107" s="291">
        <f t="shared" si="4"/>
        <v>0</v>
      </c>
      <c r="G107" s="106">
        <f t="shared" si="3"/>
        <v>0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</row>
    <row r="108" spans="1:36" ht="16.5" hidden="1" thickBot="1" x14ac:dyDescent="0.3">
      <c r="A108" s="145" t="s">
        <v>103</v>
      </c>
      <c r="B108" s="146" t="s">
        <v>281</v>
      </c>
      <c r="C108" s="238">
        <v>0</v>
      </c>
      <c r="D108" s="281"/>
      <c r="E108" s="106"/>
      <c r="F108" s="291">
        <f t="shared" si="4"/>
        <v>0</v>
      </c>
      <c r="G108" s="106">
        <f t="shared" si="3"/>
        <v>0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</row>
    <row r="109" spans="1:36" ht="16.5" hidden="1" thickBot="1" x14ac:dyDescent="0.3">
      <c r="A109" s="145" t="s">
        <v>104</v>
      </c>
      <c r="B109" s="146" t="s">
        <v>282</v>
      </c>
      <c r="C109" s="238">
        <v>0</v>
      </c>
      <c r="D109" s="281"/>
      <c r="E109" s="106"/>
      <c r="F109" s="291">
        <f t="shared" si="4"/>
        <v>0</v>
      </c>
      <c r="G109" s="106">
        <f t="shared" ref="G109:G140" si="5">IF(ISBLANK(E109),C109-F109,C109-E109)</f>
        <v>0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</row>
    <row r="110" spans="1:36" ht="16.5" hidden="1" thickBot="1" x14ac:dyDescent="0.3">
      <c r="A110" s="145" t="s">
        <v>105</v>
      </c>
      <c r="B110" s="146" t="s">
        <v>283</v>
      </c>
      <c r="C110" s="238">
        <v>0</v>
      </c>
      <c r="D110" s="281"/>
      <c r="E110" s="106"/>
      <c r="F110" s="291">
        <f t="shared" si="4"/>
        <v>0</v>
      </c>
      <c r="G110" s="106">
        <f t="shared" si="5"/>
        <v>0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</row>
    <row r="111" spans="1:36" ht="16.5" hidden="1" thickBot="1" x14ac:dyDescent="0.3">
      <c r="A111" s="145" t="s">
        <v>106</v>
      </c>
      <c r="B111" s="146" t="s">
        <v>284</v>
      </c>
      <c r="C111" s="238">
        <v>0</v>
      </c>
      <c r="D111" s="281"/>
      <c r="E111" s="106"/>
      <c r="F111" s="291">
        <f t="shared" si="4"/>
        <v>0</v>
      </c>
      <c r="G111" s="106">
        <f t="shared" si="5"/>
        <v>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</row>
    <row r="112" spans="1:36" ht="16.5" hidden="1" thickBot="1" x14ac:dyDescent="0.3">
      <c r="A112" s="145" t="s">
        <v>107</v>
      </c>
      <c r="B112" s="146" t="s">
        <v>285</v>
      </c>
      <c r="C112" s="238">
        <v>0</v>
      </c>
      <c r="D112" s="281"/>
      <c r="E112" s="106"/>
      <c r="F112" s="291">
        <f t="shared" si="4"/>
        <v>0</v>
      </c>
      <c r="G112" s="106">
        <f t="shared" si="5"/>
        <v>0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</row>
    <row r="113" spans="1:36" ht="16.5" hidden="1" thickBot="1" x14ac:dyDescent="0.3">
      <c r="A113" s="145" t="s">
        <v>108</v>
      </c>
      <c r="B113" s="146" t="s">
        <v>286</v>
      </c>
      <c r="C113" s="238">
        <v>0</v>
      </c>
      <c r="D113" s="281"/>
      <c r="E113" s="106"/>
      <c r="F113" s="291">
        <f t="shared" si="4"/>
        <v>0</v>
      </c>
      <c r="G113" s="106">
        <f t="shared" si="5"/>
        <v>0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</row>
    <row r="114" spans="1:36" ht="16.5" hidden="1" thickBot="1" x14ac:dyDescent="0.3">
      <c r="A114" s="145" t="s">
        <v>109</v>
      </c>
      <c r="B114" s="146" t="s">
        <v>287</v>
      </c>
      <c r="C114" s="238">
        <v>0</v>
      </c>
      <c r="D114" s="281"/>
      <c r="E114" s="106"/>
      <c r="F114" s="291">
        <f t="shared" si="4"/>
        <v>0</v>
      </c>
      <c r="G114" s="106">
        <f t="shared" si="5"/>
        <v>0</v>
      </c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</row>
    <row r="115" spans="1:36" ht="16.5" hidden="1" thickBot="1" x14ac:dyDescent="0.3">
      <c r="A115" s="145" t="s">
        <v>110</v>
      </c>
      <c r="B115" s="146" t="s">
        <v>288</v>
      </c>
      <c r="C115" s="238">
        <v>0</v>
      </c>
      <c r="D115" s="281"/>
      <c r="E115" s="106"/>
      <c r="F115" s="291">
        <f t="shared" si="4"/>
        <v>0</v>
      </c>
      <c r="G115" s="106">
        <f t="shared" si="5"/>
        <v>0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</row>
    <row r="116" spans="1:36" ht="16.5" hidden="1" thickBot="1" x14ac:dyDescent="0.3">
      <c r="A116" s="145" t="s">
        <v>111</v>
      </c>
      <c r="B116" s="146" t="s">
        <v>289</v>
      </c>
      <c r="C116" s="238">
        <v>0</v>
      </c>
      <c r="D116" s="281"/>
      <c r="E116" s="106"/>
      <c r="F116" s="291">
        <f t="shared" si="4"/>
        <v>0</v>
      </c>
      <c r="G116" s="106">
        <f t="shared" si="5"/>
        <v>0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</row>
    <row r="117" spans="1:36" ht="16.5" hidden="1" thickBot="1" x14ac:dyDescent="0.3">
      <c r="A117" s="145" t="s">
        <v>112</v>
      </c>
      <c r="B117" s="146" t="s">
        <v>290</v>
      </c>
      <c r="C117" s="238">
        <v>0</v>
      </c>
      <c r="D117" s="281"/>
      <c r="E117" s="106"/>
      <c r="F117" s="291">
        <f t="shared" si="4"/>
        <v>0</v>
      </c>
      <c r="G117" s="106">
        <f t="shared" si="5"/>
        <v>0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</row>
    <row r="118" spans="1:36" ht="16.5" hidden="1" thickBot="1" x14ac:dyDescent="0.3">
      <c r="A118" s="145" t="s">
        <v>113</v>
      </c>
      <c r="B118" s="146" t="s">
        <v>291</v>
      </c>
      <c r="C118" s="238">
        <v>0</v>
      </c>
      <c r="D118" s="281"/>
      <c r="E118" s="106"/>
      <c r="F118" s="291">
        <f t="shared" si="4"/>
        <v>0</v>
      </c>
      <c r="G118" s="106">
        <f t="shared" si="5"/>
        <v>0</v>
      </c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</row>
    <row r="119" spans="1:36" ht="16.5" hidden="1" thickBot="1" x14ac:dyDescent="0.3">
      <c r="A119" s="145" t="s">
        <v>114</v>
      </c>
      <c r="B119" s="146" t="s">
        <v>292</v>
      </c>
      <c r="C119" s="238">
        <v>0</v>
      </c>
      <c r="D119" s="281"/>
      <c r="E119" s="106"/>
      <c r="F119" s="291">
        <f t="shared" si="4"/>
        <v>0</v>
      </c>
      <c r="G119" s="106">
        <f t="shared" si="5"/>
        <v>0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</row>
    <row r="120" spans="1:36" ht="16.5" hidden="1" thickBot="1" x14ac:dyDescent="0.3">
      <c r="A120" s="145" t="s">
        <v>115</v>
      </c>
      <c r="B120" s="146" t="s">
        <v>293</v>
      </c>
      <c r="C120" s="238">
        <v>0</v>
      </c>
      <c r="D120" s="281"/>
      <c r="E120" s="106"/>
      <c r="F120" s="291">
        <f t="shared" si="4"/>
        <v>0</v>
      </c>
      <c r="G120" s="106">
        <f t="shared" si="5"/>
        <v>0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</row>
    <row r="121" spans="1:36" ht="16.5" hidden="1" thickBot="1" x14ac:dyDescent="0.3">
      <c r="A121" s="145" t="s">
        <v>116</v>
      </c>
      <c r="B121" s="146" t="s">
        <v>294</v>
      </c>
      <c r="C121" s="238">
        <v>0</v>
      </c>
      <c r="D121" s="281"/>
      <c r="E121" s="106"/>
      <c r="F121" s="291">
        <f t="shared" si="4"/>
        <v>0</v>
      </c>
      <c r="G121" s="106">
        <f t="shared" si="5"/>
        <v>0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</row>
    <row r="122" spans="1:36" ht="16.5" hidden="1" thickBot="1" x14ac:dyDescent="0.3">
      <c r="A122" s="145" t="s">
        <v>117</v>
      </c>
      <c r="B122" s="146" t="s">
        <v>295</v>
      </c>
      <c r="C122" s="238">
        <v>0</v>
      </c>
      <c r="D122" s="281"/>
      <c r="E122" s="106"/>
      <c r="F122" s="291">
        <f t="shared" si="4"/>
        <v>0</v>
      </c>
      <c r="G122" s="106">
        <f t="shared" si="5"/>
        <v>0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</row>
    <row r="123" spans="1:36" ht="16.5" hidden="1" thickBot="1" x14ac:dyDescent="0.3">
      <c r="A123" s="145" t="s">
        <v>118</v>
      </c>
      <c r="B123" s="146" t="s">
        <v>296</v>
      </c>
      <c r="C123" s="238">
        <v>0</v>
      </c>
      <c r="D123" s="281"/>
      <c r="E123" s="106"/>
      <c r="F123" s="291">
        <f t="shared" si="4"/>
        <v>0</v>
      </c>
      <c r="G123" s="106">
        <f t="shared" si="5"/>
        <v>0</v>
      </c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</row>
    <row r="124" spans="1:36" ht="16.5" hidden="1" thickBot="1" x14ac:dyDescent="0.3">
      <c r="A124" s="145" t="s">
        <v>119</v>
      </c>
      <c r="B124" s="146" t="s">
        <v>297</v>
      </c>
      <c r="C124" s="238">
        <v>0</v>
      </c>
      <c r="D124" s="281"/>
      <c r="E124" s="106"/>
      <c r="F124" s="291">
        <f t="shared" si="4"/>
        <v>0</v>
      </c>
      <c r="G124" s="106">
        <f t="shared" si="5"/>
        <v>0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</row>
    <row r="125" spans="1:36" ht="16.5" hidden="1" thickBot="1" x14ac:dyDescent="0.3">
      <c r="A125" s="145" t="s">
        <v>120</v>
      </c>
      <c r="B125" s="146" t="s">
        <v>298</v>
      </c>
      <c r="C125" s="238">
        <v>0</v>
      </c>
      <c r="D125" s="281"/>
      <c r="E125" s="106"/>
      <c r="F125" s="291">
        <f t="shared" si="4"/>
        <v>0</v>
      </c>
      <c r="G125" s="106">
        <f t="shared" si="5"/>
        <v>0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</row>
    <row r="126" spans="1:36" ht="16.5" thickBot="1" x14ac:dyDescent="0.3">
      <c r="A126" s="145" t="s">
        <v>121</v>
      </c>
      <c r="B126" s="146" t="s">
        <v>299</v>
      </c>
      <c r="C126" s="238">
        <v>8418</v>
      </c>
      <c r="D126" s="281"/>
      <c r="E126" s="106"/>
      <c r="F126" s="291">
        <f t="shared" si="4"/>
        <v>8418</v>
      </c>
      <c r="G126" s="106">
        <f t="shared" si="5"/>
        <v>0</v>
      </c>
      <c r="H126" s="100"/>
      <c r="I126" s="100"/>
      <c r="J126" s="100"/>
      <c r="K126" s="100"/>
      <c r="L126" s="100"/>
      <c r="M126" s="100">
        <v>3006</v>
      </c>
      <c r="N126" s="100"/>
      <c r="O126" s="100">
        <v>626</v>
      </c>
      <c r="P126" s="100">
        <v>1102</v>
      </c>
      <c r="Q126" s="100">
        <v>888</v>
      </c>
      <c r="R126" s="100">
        <v>766</v>
      </c>
      <c r="S126" s="100"/>
      <c r="T126" s="100"/>
      <c r="U126" s="100">
        <v>1404</v>
      </c>
      <c r="V126" s="100"/>
      <c r="W126" s="100">
        <v>626</v>
      </c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</row>
    <row r="127" spans="1:36" ht="16.5" hidden="1" thickBot="1" x14ac:dyDescent="0.3">
      <c r="A127" s="145" t="s">
        <v>122</v>
      </c>
      <c r="B127" s="146" t="s">
        <v>300</v>
      </c>
      <c r="C127" s="238">
        <v>0</v>
      </c>
      <c r="D127" s="281"/>
      <c r="E127" s="106"/>
      <c r="F127" s="291">
        <f t="shared" si="4"/>
        <v>0</v>
      </c>
      <c r="G127" s="106">
        <f t="shared" si="5"/>
        <v>0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</row>
    <row r="128" spans="1:36" ht="16.5" hidden="1" thickBot="1" x14ac:dyDescent="0.3">
      <c r="A128" s="145" t="s">
        <v>123</v>
      </c>
      <c r="B128" s="146" t="s">
        <v>301</v>
      </c>
      <c r="C128" s="238">
        <v>0</v>
      </c>
      <c r="D128" s="281"/>
      <c r="E128" s="106"/>
      <c r="F128" s="291">
        <f t="shared" si="4"/>
        <v>0</v>
      </c>
      <c r="G128" s="106">
        <f t="shared" si="5"/>
        <v>0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</row>
    <row r="129" spans="1:36" ht="16.5" hidden="1" thickBot="1" x14ac:dyDescent="0.3">
      <c r="A129" s="145" t="s">
        <v>124</v>
      </c>
      <c r="B129" s="146" t="s">
        <v>302</v>
      </c>
      <c r="C129" s="238">
        <v>0</v>
      </c>
      <c r="D129" s="281"/>
      <c r="E129" s="106"/>
      <c r="F129" s="291">
        <f t="shared" si="4"/>
        <v>0</v>
      </c>
      <c r="G129" s="106">
        <f t="shared" si="5"/>
        <v>0</v>
      </c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</row>
    <row r="130" spans="1:36" ht="16.5" hidden="1" thickBot="1" x14ac:dyDescent="0.3">
      <c r="A130" s="145" t="s">
        <v>125</v>
      </c>
      <c r="B130" s="146" t="s">
        <v>303</v>
      </c>
      <c r="C130" s="238">
        <v>0</v>
      </c>
      <c r="D130" s="281"/>
      <c r="E130" s="106"/>
      <c r="F130" s="291">
        <f t="shared" si="4"/>
        <v>0</v>
      </c>
      <c r="G130" s="106">
        <f t="shared" si="5"/>
        <v>0</v>
      </c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</row>
    <row r="131" spans="1:36" ht="16.5" thickBot="1" x14ac:dyDescent="0.3">
      <c r="A131" s="145" t="s">
        <v>126</v>
      </c>
      <c r="B131" s="146" t="s">
        <v>304</v>
      </c>
      <c r="C131" s="238">
        <v>1684</v>
      </c>
      <c r="D131" s="281">
        <v>9035</v>
      </c>
      <c r="E131" s="106">
        <v>1684</v>
      </c>
      <c r="F131" s="291">
        <f t="shared" si="4"/>
        <v>0</v>
      </c>
      <c r="G131" s="106">
        <f t="shared" si="5"/>
        <v>0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</row>
    <row r="132" spans="1:36" ht="16.5" hidden="1" thickBot="1" x14ac:dyDescent="0.3">
      <c r="A132" s="145" t="s">
        <v>127</v>
      </c>
      <c r="B132" s="146" t="s">
        <v>305</v>
      </c>
      <c r="C132" s="238">
        <v>0</v>
      </c>
      <c r="D132" s="281"/>
      <c r="E132" s="106"/>
      <c r="F132" s="291">
        <f t="shared" si="4"/>
        <v>0</v>
      </c>
      <c r="G132" s="106">
        <f t="shared" si="5"/>
        <v>0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</row>
    <row r="133" spans="1:36" ht="16.5" hidden="1" thickBot="1" x14ac:dyDescent="0.3">
      <c r="A133" s="145" t="s">
        <v>128</v>
      </c>
      <c r="B133" s="146" t="s">
        <v>306</v>
      </c>
      <c r="C133" s="238">
        <v>0</v>
      </c>
      <c r="D133" s="281"/>
      <c r="E133" s="106"/>
      <c r="F133" s="291">
        <f t="shared" si="4"/>
        <v>0</v>
      </c>
      <c r="G133" s="106">
        <f t="shared" si="5"/>
        <v>0</v>
      </c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</row>
    <row r="134" spans="1:36" ht="16.5" hidden="1" thickBot="1" x14ac:dyDescent="0.3">
      <c r="A134" s="145" t="s">
        <v>129</v>
      </c>
      <c r="B134" s="146" t="s">
        <v>307</v>
      </c>
      <c r="C134" s="238">
        <v>0</v>
      </c>
      <c r="D134" s="281"/>
      <c r="E134" s="106"/>
      <c r="F134" s="291">
        <f t="shared" si="4"/>
        <v>0</v>
      </c>
      <c r="G134" s="106">
        <f t="shared" si="5"/>
        <v>0</v>
      </c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</row>
    <row r="135" spans="1:36" ht="16.5" hidden="1" thickBot="1" x14ac:dyDescent="0.3">
      <c r="A135" s="145" t="s">
        <v>130</v>
      </c>
      <c r="B135" s="146" t="s">
        <v>308</v>
      </c>
      <c r="C135" s="238">
        <v>0</v>
      </c>
      <c r="D135" s="281"/>
      <c r="E135" s="106"/>
      <c r="F135" s="291">
        <f t="shared" si="4"/>
        <v>0</v>
      </c>
      <c r="G135" s="106">
        <f t="shared" si="5"/>
        <v>0</v>
      </c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</row>
    <row r="136" spans="1:36" ht="16.5" hidden="1" thickBot="1" x14ac:dyDescent="0.3">
      <c r="A136" s="145" t="s">
        <v>131</v>
      </c>
      <c r="B136" s="146" t="s">
        <v>309</v>
      </c>
      <c r="C136" s="238">
        <v>0</v>
      </c>
      <c r="D136" s="281"/>
      <c r="E136" s="106"/>
      <c r="F136" s="291">
        <f t="shared" si="4"/>
        <v>0</v>
      </c>
      <c r="G136" s="106">
        <f t="shared" si="5"/>
        <v>0</v>
      </c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</row>
    <row r="137" spans="1:36" ht="16.5" hidden="1" thickBot="1" x14ac:dyDescent="0.3">
      <c r="A137" s="145" t="s">
        <v>132</v>
      </c>
      <c r="B137" s="146" t="s">
        <v>310</v>
      </c>
      <c r="C137" s="238">
        <v>0</v>
      </c>
      <c r="D137" s="281"/>
      <c r="E137" s="106"/>
      <c r="F137" s="291">
        <f t="shared" si="4"/>
        <v>0</v>
      </c>
      <c r="G137" s="106">
        <f t="shared" si="5"/>
        <v>0</v>
      </c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</row>
    <row r="138" spans="1:36" ht="16.5" hidden="1" thickBot="1" x14ac:dyDescent="0.3">
      <c r="A138" s="145" t="s">
        <v>133</v>
      </c>
      <c r="B138" s="146" t="s">
        <v>311</v>
      </c>
      <c r="C138" s="238">
        <v>0</v>
      </c>
      <c r="D138" s="281"/>
      <c r="E138" s="106"/>
      <c r="F138" s="291">
        <f t="shared" si="4"/>
        <v>0</v>
      </c>
      <c r="G138" s="106">
        <f t="shared" si="5"/>
        <v>0</v>
      </c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</row>
    <row r="139" spans="1:36" ht="16.5" hidden="1" thickBot="1" x14ac:dyDescent="0.3">
      <c r="A139" s="145" t="s">
        <v>134</v>
      </c>
      <c r="B139" s="146" t="s">
        <v>312</v>
      </c>
      <c r="C139" s="238">
        <v>0</v>
      </c>
      <c r="D139" s="281"/>
      <c r="E139" s="106"/>
      <c r="F139" s="291">
        <f t="shared" si="4"/>
        <v>0</v>
      </c>
      <c r="G139" s="106">
        <f t="shared" si="5"/>
        <v>0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</row>
    <row r="140" spans="1:36" ht="16.5" hidden="1" thickBot="1" x14ac:dyDescent="0.3">
      <c r="A140" s="145" t="s">
        <v>135</v>
      </c>
      <c r="B140" s="146" t="s">
        <v>313</v>
      </c>
      <c r="C140" s="238">
        <v>0</v>
      </c>
      <c r="D140" s="281"/>
      <c r="E140" s="106"/>
      <c r="F140" s="291">
        <f t="shared" si="4"/>
        <v>0</v>
      </c>
      <c r="G140" s="106">
        <f t="shared" si="5"/>
        <v>0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</row>
    <row r="141" spans="1:36" ht="16.5" hidden="1" thickBot="1" x14ac:dyDescent="0.3">
      <c r="A141" s="145" t="s">
        <v>136</v>
      </c>
      <c r="B141" s="146" t="s">
        <v>314</v>
      </c>
      <c r="C141" s="238">
        <v>0</v>
      </c>
      <c r="D141" s="281"/>
      <c r="E141" s="106"/>
      <c r="F141" s="291">
        <f t="shared" si="4"/>
        <v>0</v>
      </c>
      <c r="G141" s="106">
        <f t="shared" ref="G141:G172" si="6">IF(ISBLANK(E141),C141-F141,C141-E141)</f>
        <v>0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</row>
    <row r="142" spans="1:36" ht="16.5" hidden="1" thickBot="1" x14ac:dyDescent="0.3">
      <c r="A142" s="145" t="s">
        <v>137</v>
      </c>
      <c r="B142" s="146" t="s">
        <v>315</v>
      </c>
      <c r="C142" s="238">
        <v>0</v>
      </c>
      <c r="D142" s="281"/>
      <c r="E142" s="106"/>
      <c r="F142" s="291">
        <f t="shared" ref="F142:F201" si="7">SUM(H142:AJ142)</f>
        <v>0</v>
      </c>
      <c r="G142" s="106">
        <f t="shared" si="6"/>
        <v>0</v>
      </c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</row>
    <row r="143" spans="1:36" ht="16.5" hidden="1" thickBot="1" x14ac:dyDescent="0.3">
      <c r="A143" s="145" t="s">
        <v>138</v>
      </c>
      <c r="B143" s="146" t="s">
        <v>316</v>
      </c>
      <c r="C143" s="238">
        <v>0</v>
      </c>
      <c r="D143" s="281"/>
      <c r="E143" s="106"/>
      <c r="F143" s="291">
        <f t="shared" si="7"/>
        <v>0</v>
      </c>
      <c r="G143" s="106">
        <f t="shared" si="6"/>
        <v>0</v>
      </c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</row>
    <row r="144" spans="1:36" ht="16.5" hidden="1" thickBot="1" x14ac:dyDescent="0.3">
      <c r="A144" s="145" t="s">
        <v>139</v>
      </c>
      <c r="B144" s="146" t="s">
        <v>317</v>
      </c>
      <c r="C144" s="238">
        <v>0</v>
      </c>
      <c r="D144" s="281"/>
      <c r="E144" s="106"/>
      <c r="F144" s="291">
        <f t="shared" si="7"/>
        <v>0</v>
      </c>
      <c r="G144" s="106">
        <f t="shared" si="6"/>
        <v>0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</row>
    <row r="145" spans="1:36" ht="16.5" thickBot="1" x14ac:dyDescent="0.3">
      <c r="A145" s="145" t="s">
        <v>140</v>
      </c>
      <c r="B145" s="146" t="s">
        <v>318</v>
      </c>
      <c r="C145" s="238">
        <v>842</v>
      </c>
      <c r="D145" s="281">
        <v>9075</v>
      </c>
      <c r="E145" s="106">
        <v>842</v>
      </c>
      <c r="F145" s="291">
        <f t="shared" si="7"/>
        <v>0</v>
      </c>
      <c r="G145" s="106">
        <f t="shared" si="6"/>
        <v>0</v>
      </c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</row>
    <row r="146" spans="1:36" ht="16.5" hidden="1" thickBot="1" x14ac:dyDescent="0.3">
      <c r="A146" s="145" t="s">
        <v>141</v>
      </c>
      <c r="B146" s="146" t="s">
        <v>319</v>
      </c>
      <c r="C146" s="238">
        <v>0</v>
      </c>
      <c r="D146" s="281"/>
      <c r="E146" s="106"/>
      <c r="F146" s="291">
        <f t="shared" si="7"/>
        <v>0</v>
      </c>
      <c r="G146" s="106">
        <f t="shared" si="6"/>
        <v>0</v>
      </c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</row>
    <row r="147" spans="1:36" ht="16.5" hidden="1" thickBot="1" x14ac:dyDescent="0.3">
      <c r="A147" s="145" t="s">
        <v>142</v>
      </c>
      <c r="B147" s="146" t="s">
        <v>320</v>
      </c>
      <c r="C147" s="238">
        <v>0</v>
      </c>
      <c r="D147" s="281"/>
      <c r="E147" s="106"/>
      <c r="F147" s="291">
        <f t="shared" si="7"/>
        <v>0</v>
      </c>
      <c r="G147" s="106">
        <f t="shared" si="6"/>
        <v>0</v>
      </c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</row>
    <row r="148" spans="1:36" ht="16.5" hidden="1" thickBot="1" x14ac:dyDescent="0.3">
      <c r="A148" s="145" t="s">
        <v>143</v>
      </c>
      <c r="B148" s="146" t="s">
        <v>321</v>
      </c>
      <c r="C148" s="238">
        <v>0</v>
      </c>
      <c r="D148" s="281"/>
      <c r="E148" s="106"/>
      <c r="F148" s="291">
        <f t="shared" si="7"/>
        <v>0</v>
      </c>
      <c r="G148" s="106">
        <f t="shared" si="6"/>
        <v>0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</row>
    <row r="149" spans="1:36" ht="16.5" hidden="1" thickBot="1" x14ac:dyDescent="0.3">
      <c r="A149" s="145" t="s">
        <v>144</v>
      </c>
      <c r="B149" s="146" t="s">
        <v>322</v>
      </c>
      <c r="C149" s="238">
        <v>0</v>
      </c>
      <c r="D149" s="281"/>
      <c r="E149" s="106"/>
      <c r="F149" s="291">
        <f t="shared" si="7"/>
        <v>0</v>
      </c>
      <c r="G149" s="106">
        <f t="shared" si="6"/>
        <v>0</v>
      </c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</row>
    <row r="150" spans="1:36" ht="16.5" hidden="1" thickBot="1" x14ac:dyDescent="0.3">
      <c r="A150" s="145" t="s">
        <v>145</v>
      </c>
      <c r="B150" s="146" t="s">
        <v>323</v>
      </c>
      <c r="C150" s="238">
        <v>0</v>
      </c>
      <c r="D150" s="281"/>
      <c r="E150" s="106"/>
      <c r="F150" s="291">
        <f t="shared" si="7"/>
        <v>0</v>
      </c>
      <c r="G150" s="106">
        <f t="shared" si="6"/>
        <v>0</v>
      </c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</row>
    <row r="151" spans="1:36" ht="16.5" thickBot="1" x14ac:dyDescent="0.3">
      <c r="A151" s="145" t="s">
        <v>146</v>
      </c>
      <c r="B151" s="146" t="s">
        <v>324</v>
      </c>
      <c r="C151" s="238">
        <v>2525</v>
      </c>
      <c r="D151" s="281">
        <v>9095</v>
      </c>
      <c r="E151" s="106">
        <v>2525</v>
      </c>
      <c r="F151" s="291">
        <f t="shared" si="7"/>
        <v>0</v>
      </c>
      <c r="G151" s="106">
        <f t="shared" si="6"/>
        <v>0</v>
      </c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</row>
    <row r="152" spans="1:36" ht="16.5" thickBot="1" x14ac:dyDescent="0.3">
      <c r="A152" s="145" t="s">
        <v>147</v>
      </c>
      <c r="B152" s="146" t="s">
        <v>325</v>
      </c>
      <c r="C152" s="238">
        <v>0</v>
      </c>
      <c r="D152" s="281"/>
      <c r="E152" s="106"/>
      <c r="F152" s="291">
        <f t="shared" si="7"/>
        <v>0</v>
      </c>
      <c r="G152" s="106">
        <f t="shared" si="6"/>
        <v>0</v>
      </c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</row>
    <row r="153" spans="1:36" ht="16.5" thickBot="1" x14ac:dyDescent="0.3">
      <c r="A153" s="145" t="s">
        <v>148</v>
      </c>
      <c r="B153" s="146" t="s">
        <v>326</v>
      </c>
      <c r="C153" s="238">
        <v>0</v>
      </c>
      <c r="D153" s="281"/>
      <c r="E153" s="106"/>
      <c r="F153" s="291">
        <f t="shared" si="7"/>
        <v>0</v>
      </c>
      <c r="G153" s="106">
        <f t="shared" si="6"/>
        <v>0</v>
      </c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</row>
    <row r="154" spans="1:36" ht="16.5" thickBot="1" x14ac:dyDescent="0.3">
      <c r="A154" s="145" t="s">
        <v>149</v>
      </c>
      <c r="B154" s="146" t="s">
        <v>327</v>
      </c>
      <c r="C154" s="238">
        <v>0</v>
      </c>
      <c r="D154" s="281"/>
      <c r="E154" s="106"/>
      <c r="F154" s="291">
        <f t="shared" si="7"/>
        <v>0</v>
      </c>
      <c r="G154" s="106">
        <f t="shared" si="6"/>
        <v>0</v>
      </c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</row>
    <row r="155" spans="1:36" ht="16.5" thickBot="1" x14ac:dyDescent="0.3">
      <c r="A155" s="145" t="s">
        <v>150</v>
      </c>
      <c r="B155" s="146" t="s">
        <v>328</v>
      </c>
      <c r="C155" s="238">
        <v>0</v>
      </c>
      <c r="D155" s="281"/>
      <c r="E155" s="106"/>
      <c r="F155" s="291">
        <f t="shared" si="7"/>
        <v>0</v>
      </c>
      <c r="G155" s="106">
        <f t="shared" si="6"/>
        <v>0</v>
      </c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</row>
    <row r="156" spans="1:36" ht="16.5" thickBot="1" x14ac:dyDescent="0.3">
      <c r="A156" s="145" t="s">
        <v>151</v>
      </c>
      <c r="B156" s="146" t="s">
        <v>329</v>
      </c>
      <c r="C156" s="238">
        <v>0</v>
      </c>
      <c r="D156" s="281"/>
      <c r="E156" s="106"/>
      <c r="F156" s="291">
        <f t="shared" si="7"/>
        <v>0</v>
      </c>
      <c r="G156" s="106">
        <f t="shared" si="6"/>
        <v>0</v>
      </c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</row>
    <row r="157" spans="1:36" ht="16.5" thickBot="1" x14ac:dyDescent="0.3">
      <c r="A157" s="145" t="s">
        <v>152</v>
      </c>
      <c r="B157" s="146" t="s">
        <v>330</v>
      </c>
      <c r="C157" s="238">
        <v>0</v>
      </c>
      <c r="D157" s="281"/>
      <c r="E157" s="106"/>
      <c r="F157" s="291">
        <f t="shared" si="7"/>
        <v>0</v>
      </c>
      <c r="G157" s="106">
        <f t="shared" si="6"/>
        <v>0</v>
      </c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</row>
    <row r="158" spans="1:36" ht="16.5" thickBot="1" x14ac:dyDescent="0.3">
      <c r="A158" s="145" t="s">
        <v>153</v>
      </c>
      <c r="B158" s="146" t="s">
        <v>331</v>
      </c>
      <c r="C158" s="238">
        <v>0</v>
      </c>
      <c r="D158" s="281"/>
      <c r="E158" s="106"/>
      <c r="F158" s="291">
        <f t="shared" si="7"/>
        <v>0</v>
      </c>
      <c r="G158" s="106">
        <f t="shared" si="6"/>
        <v>0</v>
      </c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</row>
    <row r="159" spans="1:36" ht="16.5" thickBot="1" x14ac:dyDescent="0.3">
      <c r="A159" s="145" t="s">
        <v>154</v>
      </c>
      <c r="B159" s="146" t="s">
        <v>507</v>
      </c>
      <c r="C159" s="238">
        <v>0</v>
      </c>
      <c r="D159" s="281"/>
      <c r="E159" s="106"/>
      <c r="F159" s="291">
        <f t="shared" si="7"/>
        <v>0</v>
      </c>
      <c r="G159" s="106">
        <f t="shared" si="6"/>
        <v>0</v>
      </c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</row>
    <row r="160" spans="1:36" ht="16.5" thickBot="1" x14ac:dyDescent="0.3">
      <c r="A160" s="145" t="s">
        <v>155</v>
      </c>
      <c r="B160" s="146" t="s">
        <v>333</v>
      </c>
      <c r="C160" s="238">
        <v>0</v>
      </c>
      <c r="D160" s="281"/>
      <c r="E160" s="106"/>
      <c r="F160" s="291">
        <f t="shared" si="7"/>
        <v>0</v>
      </c>
      <c r="G160" s="106">
        <f t="shared" si="6"/>
        <v>0</v>
      </c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</row>
    <row r="161" spans="1:36" ht="16.5" thickBot="1" x14ac:dyDescent="0.3">
      <c r="A161" s="145" t="s">
        <v>156</v>
      </c>
      <c r="B161" s="146" t="s">
        <v>334</v>
      </c>
      <c r="C161" s="238">
        <v>0</v>
      </c>
      <c r="D161" s="281"/>
      <c r="E161" s="106"/>
      <c r="F161" s="291">
        <f t="shared" si="7"/>
        <v>0</v>
      </c>
      <c r="G161" s="106">
        <f t="shared" si="6"/>
        <v>0</v>
      </c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</row>
    <row r="162" spans="1:36" ht="16.5" thickBot="1" x14ac:dyDescent="0.3">
      <c r="A162" s="145" t="s">
        <v>157</v>
      </c>
      <c r="B162" s="146" t="s">
        <v>335</v>
      </c>
      <c r="C162" s="238">
        <v>0</v>
      </c>
      <c r="D162" s="281"/>
      <c r="E162" s="106"/>
      <c r="F162" s="291">
        <f t="shared" si="7"/>
        <v>0</v>
      </c>
      <c r="G162" s="106">
        <f t="shared" si="6"/>
        <v>0</v>
      </c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</row>
    <row r="163" spans="1:36" ht="16.5" thickBot="1" x14ac:dyDescent="0.3">
      <c r="A163" s="145" t="s">
        <v>158</v>
      </c>
      <c r="B163" s="146" t="s">
        <v>336</v>
      </c>
      <c r="C163" s="238">
        <v>0</v>
      </c>
      <c r="D163" s="281"/>
      <c r="E163" s="106"/>
      <c r="F163" s="291">
        <f t="shared" si="7"/>
        <v>0</v>
      </c>
      <c r="G163" s="106">
        <f t="shared" si="6"/>
        <v>0</v>
      </c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</row>
    <row r="164" spans="1:36" ht="16.5" thickBot="1" x14ac:dyDescent="0.3">
      <c r="A164" s="145" t="s">
        <v>159</v>
      </c>
      <c r="B164" s="146" t="s">
        <v>337</v>
      </c>
      <c r="C164" s="238">
        <v>0</v>
      </c>
      <c r="D164" s="281"/>
      <c r="E164" s="106"/>
      <c r="F164" s="291">
        <f t="shared" si="7"/>
        <v>0</v>
      </c>
      <c r="G164" s="106">
        <f t="shared" si="6"/>
        <v>0</v>
      </c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</row>
    <row r="165" spans="1:36" ht="16.5" thickBot="1" x14ac:dyDescent="0.3">
      <c r="A165" s="145" t="s">
        <v>160</v>
      </c>
      <c r="B165" s="146" t="s">
        <v>411</v>
      </c>
      <c r="C165" s="238">
        <v>0</v>
      </c>
      <c r="D165" s="281"/>
      <c r="E165" s="106"/>
      <c r="F165" s="291">
        <f t="shared" si="7"/>
        <v>0</v>
      </c>
      <c r="G165" s="106">
        <f t="shared" si="6"/>
        <v>0</v>
      </c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</row>
    <row r="166" spans="1:36" ht="16.5" thickBot="1" x14ac:dyDescent="0.3">
      <c r="A166" s="145" t="s">
        <v>161</v>
      </c>
      <c r="B166" s="146" t="s">
        <v>339</v>
      </c>
      <c r="C166" s="238">
        <v>0</v>
      </c>
      <c r="D166" s="281"/>
      <c r="E166" s="106"/>
      <c r="F166" s="291">
        <f t="shared" si="7"/>
        <v>0</v>
      </c>
      <c r="G166" s="106">
        <f t="shared" si="6"/>
        <v>0</v>
      </c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</row>
    <row r="167" spans="1:36" ht="16.5" thickBot="1" x14ac:dyDescent="0.3">
      <c r="A167" s="145" t="s">
        <v>162</v>
      </c>
      <c r="B167" s="146" t="s">
        <v>340</v>
      </c>
      <c r="C167" s="238">
        <v>0</v>
      </c>
      <c r="D167" s="281"/>
      <c r="E167" s="106"/>
      <c r="F167" s="291">
        <f t="shared" si="7"/>
        <v>0</v>
      </c>
      <c r="G167" s="106">
        <f t="shared" si="6"/>
        <v>0</v>
      </c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</row>
    <row r="168" spans="1:36" ht="16.5" thickBot="1" x14ac:dyDescent="0.3">
      <c r="A168" s="145" t="s">
        <v>163</v>
      </c>
      <c r="B168" s="146" t="s">
        <v>341</v>
      </c>
      <c r="C168" s="238">
        <v>0</v>
      </c>
      <c r="D168" s="281"/>
      <c r="E168" s="106"/>
      <c r="F168" s="291">
        <f t="shared" si="7"/>
        <v>0</v>
      </c>
      <c r="G168" s="106">
        <f t="shared" si="6"/>
        <v>0</v>
      </c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</row>
    <row r="169" spans="1:36" ht="16.5" thickBot="1" x14ac:dyDescent="0.3">
      <c r="A169" s="145" t="s">
        <v>164</v>
      </c>
      <c r="B169" s="146" t="s">
        <v>342</v>
      </c>
      <c r="C169" s="238">
        <v>0</v>
      </c>
      <c r="D169" s="281"/>
      <c r="E169" s="106"/>
      <c r="F169" s="291">
        <f t="shared" si="7"/>
        <v>0</v>
      </c>
      <c r="G169" s="106">
        <f t="shared" si="6"/>
        <v>0</v>
      </c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</row>
    <row r="170" spans="1:36" ht="16.5" thickBot="1" x14ac:dyDescent="0.3">
      <c r="A170" s="145" t="s">
        <v>165</v>
      </c>
      <c r="B170" s="146" t="s">
        <v>343</v>
      </c>
      <c r="C170" s="238">
        <v>0</v>
      </c>
      <c r="D170" s="281"/>
      <c r="E170" s="106"/>
      <c r="F170" s="291">
        <f t="shared" si="7"/>
        <v>0</v>
      </c>
      <c r="G170" s="106">
        <f t="shared" si="6"/>
        <v>0</v>
      </c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</row>
    <row r="171" spans="1:36" ht="16.5" thickBot="1" x14ac:dyDescent="0.3">
      <c r="A171" s="145" t="s">
        <v>166</v>
      </c>
      <c r="B171" s="146" t="s">
        <v>344</v>
      </c>
      <c r="C171" s="238">
        <v>0</v>
      </c>
      <c r="D171" s="281"/>
      <c r="E171" s="106"/>
      <c r="F171" s="291">
        <f t="shared" si="7"/>
        <v>0</v>
      </c>
      <c r="G171" s="106">
        <f t="shared" si="6"/>
        <v>0</v>
      </c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</row>
    <row r="172" spans="1:36" ht="16.5" thickBot="1" x14ac:dyDescent="0.3">
      <c r="A172" s="145" t="s">
        <v>167</v>
      </c>
      <c r="B172" s="146" t="s">
        <v>345</v>
      </c>
      <c r="C172" s="238">
        <v>0</v>
      </c>
      <c r="D172" s="281"/>
      <c r="E172" s="106"/>
      <c r="F172" s="291">
        <f t="shared" si="7"/>
        <v>0</v>
      </c>
      <c r="G172" s="106">
        <f t="shared" si="6"/>
        <v>0</v>
      </c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</row>
    <row r="173" spans="1:36" ht="16.5" thickBot="1" x14ac:dyDescent="0.3">
      <c r="A173" s="145" t="s">
        <v>168</v>
      </c>
      <c r="B173" s="146" t="s">
        <v>346</v>
      </c>
      <c r="C173" s="238">
        <v>0</v>
      </c>
      <c r="D173" s="281"/>
      <c r="E173" s="106"/>
      <c r="F173" s="291">
        <f t="shared" si="7"/>
        <v>0</v>
      </c>
      <c r="G173" s="106">
        <f t="shared" ref="G173:G192" si="8">IF(ISBLANK(E173),C173-F173,C173-E173)</f>
        <v>0</v>
      </c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</row>
    <row r="174" spans="1:36" ht="16.5" thickBot="1" x14ac:dyDescent="0.3">
      <c r="A174" s="145" t="s">
        <v>169</v>
      </c>
      <c r="B174" s="146" t="s">
        <v>347</v>
      </c>
      <c r="C174" s="238">
        <v>0</v>
      </c>
      <c r="D174" s="281"/>
      <c r="E174" s="106"/>
      <c r="F174" s="291">
        <f t="shared" si="7"/>
        <v>0</v>
      </c>
      <c r="G174" s="106">
        <f t="shared" si="8"/>
        <v>0</v>
      </c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</row>
    <row r="175" spans="1:36" ht="16.5" thickBot="1" x14ac:dyDescent="0.3">
      <c r="A175" s="145" t="s">
        <v>170</v>
      </c>
      <c r="B175" s="146" t="s">
        <v>348</v>
      </c>
      <c r="C175" s="238">
        <v>0</v>
      </c>
      <c r="D175" s="281"/>
      <c r="E175" s="106"/>
      <c r="F175" s="291">
        <f t="shared" si="7"/>
        <v>0</v>
      </c>
      <c r="G175" s="106">
        <f t="shared" si="8"/>
        <v>0</v>
      </c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</row>
    <row r="176" spans="1:36" ht="16.5" thickBot="1" x14ac:dyDescent="0.3">
      <c r="A176" s="145" t="s">
        <v>171</v>
      </c>
      <c r="B176" s="146" t="s">
        <v>349</v>
      </c>
      <c r="C176" s="238">
        <v>0</v>
      </c>
      <c r="D176" s="281"/>
      <c r="E176" s="106"/>
      <c r="F176" s="291">
        <f t="shared" si="7"/>
        <v>0</v>
      </c>
      <c r="G176" s="106">
        <f t="shared" si="8"/>
        <v>0</v>
      </c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</row>
    <row r="177" spans="1:36" ht="16.5" thickBot="1" x14ac:dyDescent="0.3">
      <c r="A177" s="145" t="s">
        <v>172</v>
      </c>
      <c r="B177" s="146" t="s">
        <v>350</v>
      </c>
      <c r="C177" s="238">
        <v>1684</v>
      </c>
      <c r="D177" s="281"/>
      <c r="E177" s="106"/>
      <c r="F177" s="291">
        <f t="shared" si="7"/>
        <v>1126</v>
      </c>
      <c r="G177" s="106">
        <f t="shared" si="8"/>
        <v>558</v>
      </c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>
        <v>879</v>
      </c>
      <c r="Y177" s="100"/>
      <c r="Z177" s="100"/>
      <c r="AA177" s="100"/>
      <c r="AB177" s="100"/>
      <c r="AC177" s="100"/>
      <c r="AD177" s="100"/>
      <c r="AE177" s="100">
        <v>247</v>
      </c>
      <c r="AF177" s="100"/>
      <c r="AG177" s="100"/>
      <c r="AH177" s="100"/>
      <c r="AI177" s="100"/>
      <c r="AJ177" s="100"/>
    </row>
    <row r="178" spans="1:36" ht="16.5" hidden="1" thickBot="1" x14ac:dyDescent="0.3">
      <c r="A178" s="145" t="s">
        <v>173</v>
      </c>
      <c r="B178" s="146" t="s">
        <v>351</v>
      </c>
      <c r="C178" s="240">
        <v>0</v>
      </c>
      <c r="D178" s="281"/>
      <c r="E178" s="106"/>
      <c r="F178" s="291">
        <f t="shared" si="7"/>
        <v>0</v>
      </c>
      <c r="G178" s="106">
        <f t="shared" si="8"/>
        <v>0</v>
      </c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</row>
    <row r="179" spans="1:36" ht="16.5" hidden="1" thickBot="1" x14ac:dyDescent="0.3">
      <c r="A179" s="145" t="s">
        <v>174</v>
      </c>
      <c r="B179" s="146" t="s">
        <v>352</v>
      </c>
      <c r="C179" s="240">
        <v>0</v>
      </c>
      <c r="D179" s="281"/>
      <c r="E179" s="106"/>
      <c r="F179" s="291">
        <f t="shared" si="7"/>
        <v>0</v>
      </c>
      <c r="G179" s="106">
        <f t="shared" si="8"/>
        <v>0</v>
      </c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</row>
    <row r="180" spans="1:36" ht="16.5" hidden="1" thickBot="1" x14ac:dyDescent="0.3">
      <c r="A180" s="145" t="s">
        <v>175</v>
      </c>
      <c r="B180" s="146" t="s">
        <v>353</v>
      </c>
      <c r="C180" s="240">
        <v>0</v>
      </c>
      <c r="D180" s="281"/>
      <c r="E180" s="106"/>
      <c r="F180" s="291">
        <f t="shared" si="7"/>
        <v>0</v>
      </c>
      <c r="G180" s="106">
        <f t="shared" si="8"/>
        <v>0</v>
      </c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</row>
    <row r="181" spans="1:36" ht="16.5" hidden="1" thickBot="1" x14ac:dyDescent="0.3">
      <c r="A181" s="145" t="s">
        <v>176</v>
      </c>
      <c r="B181" s="146" t="s">
        <v>354</v>
      </c>
      <c r="C181" s="240">
        <v>0</v>
      </c>
      <c r="D181" s="281"/>
      <c r="E181" s="106"/>
      <c r="F181" s="291">
        <f t="shared" si="7"/>
        <v>0</v>
      </c>
      <c r="G181" s="106">
        <f t="shared" si="8"/>
        <v>0</v>
      </c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</row>
    <row r="182" spans="1:36" ht="16.5" hidden="1" thickBot="1" x14ac:dyDescent="0.3">
      <c r="A182" s="145" t="s">
        <v>177</v>
      </c>
      <c r="B182" s="146" t="s">
        <v>355</v>
      </c>
      <c r="C182" s="240">
        <v>0</v>
      </c>
      <c r="D182" s="281"/>
      <c r="E182" s="106"/>
      <c r="F182" s="291">
        <f t="shared" si="7"/>
        <v>0</v>
      </c>
      <c r="G182" s="106">
        <f t="shared" si="8"/>
        <v>0</v>
      </c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</row>
    <row r="183" spans="1:36" ht="16.5" hidden="1" thickBot="1" x14ac:dyDescent="0.3">
      <c r="A183" s="145" t="s">
        <v>178</v>
      </c>
      <c r="B183" s="146" t="s">
        <v>356</v>
      </c>
      <c r="C183" s="240">
        <v>0</v>
      </c>
      <c r="D183" s="281"/>
      <c r="E183" s="106"/>
      <c r="F183" s="291">
        <f t="shared" si="7"/>
        <v>0</v>
      </c>
      <c r="G183" s="106">
        <f t="shared" si="8"/>
        <v>0</v>
      </c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</row>
    <row r="184" spans="1:36" ht="16.5" hidden="1" thickBot="1" x14ac:dyDescent="0.3">
      <c r="A184" s="145" t="s">
        <v>179</v>
      </c>
      <c r="B184" s="146" t="s">
        <v>357</v>
      </c>
      <c r="C184" s="240">
        <v>0</v>
      </c>
      <c r="D184" s="281"/>
      <c r="E184" s="106"/>
      <c r="F184" s="291">
        <f t="shared" si="7"/>
        <v>0</v>
      </c>
      <c r="G184" s="106">
        <f t="shared" si="8"/>
        <v>0</v>
      </c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</row>
    <row r="185" spans="1:36" ht="16.5" hidden="1" thickBot="1" x14ac:dyDescent="0.3">
      <c r="A185" s="145" t="s">
        <v>180</v>
      </c>
      <c r="B185" s="146" t="s">
        <v>358</v>
      </c>
      <c r="C185" s="240">
        <v>0</v>
      </c>
      <c r="D185" s="281"/>
      <c r="E185" s="106"/>
      <c r="F185" s="291">
        <f t="shared" si="7"/>
        <v>0</v>
      </c>
      <c r="G185" s="106">
        <f t="shared" si="8"/>
        <v>0</v>
      </c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</row>
    <row r="186" spans="1:36" ht="16.5" hidden="1" thickBot="1" x14ac:dyDescent="0.3">
      <c r="A186" s="145" t="s">
        <v>181</v>
      </c>
      <c r="B186" s="146" t="s">
        <v>359</v>
      </c>
      <c r="C186" s="240">
        <v>0</v>
      </c>
      <c r="D186" s="281"/>
      <c r="E186" s="106"/>
      <c r="F186" s="291">
        <f t="shared" si="7"/>
        <v>0</v>
      </c>
      <c r="G186" s="106">
        <f t="shared" si="8"/>
        <v>0</v>
      </c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</row>
    <row r="187" spans="1:36" ht="16.5" hidden="1" thickBot="1" x14ac:dyDescent="0.3">
      <c r="A187" s="145" t="s">
        <v>182</v>
      </c>
      <c r="B187" s="146" t="s">
        <v>360</v>
      </c>
      <c r="C187" s="240">
        <v>0</v>
      </c>
      <c r="D187" s="281"/>
      <c r="E187" s="106"/>
      <c r="F187" s="291">
        <f t="shared" si="7"/>
        <v>0</v>
      </c>
      <c r="G187" s="106">
        <f t="shared" si="8"/>
        <v>0</v>
      </c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</row>
    <row r="188" spans="1:36" ht="16.5" hidden="1" thickBot="1" x14ac:dyDescent="0.3">
      <c r="A188" s="145" t="s">
        <v>183</v>
      </c>
      <c r="B188" s="146" t="s">
        <v>361</v>
      </c>
      <c r="C188" s="240">
        <v>0</v>
      </c>
      <c r="D188" s="281"/>
      <c r="E188" s="106"/>
      <c r="F188" s="291">
        <f t="shared" si="7"/>
        <v>0</v>
      </c>
      <c r="G188" s="106">
        <f t="shared" si="8"/>
        <v>0</v>
      </c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</row>
    <row r="189" spans="1:36" ht="16.5" hidden="1" thickBot="1" x14ac:dyDescent="0.3">
      <c r="A189" s="145" t="s">
        <v>184</v>
      </c>
      <c r="B189" s="146" t="s">
        <v>362</v>
      </c>
      <c r="C189" s="240">
        <v>0</v>
      </c>
      <c r="D189" s="281"/>
      <c r="E189" s="106"/>
      <c r="F189" s="291">
        <f t="shared" si="7"/>
        <v>0</v>
      </c>
      <c r="G189" s="106">
        <f t="shared" si="8"/>
        <v>0</v>
      </c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</row>
    <row r="190" spans="1:36" ht="16.5" hidden="1" thickBot="1" x14ac:dyDescent="0.3">
      <c r="A190" s="145" t="s">
        <v>185</v>
      </c>
      <c r="B190" s="146" t="s">
        <v>363</v>
      </c>
      <c r="C190" s="240">
        <v>0</v>
      </c>
      <c r="D190" s="281"/>
      <c r="E190" s="106"/>
      <c r="F190" s="291">
        <f t="shared" si="7"/>
        <v>0</v>
      </c>
      <c r="G190" s="106">
        <f t="shared" si="8"/>
        <v>0</v>
      </c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</row>
    <row r="191" spans="1:36" ht="16.5" thickBot="1" x14ac:dyDescent="0.3">
      <c r="A191" s="149">
        <v>8001</v>
      </c>
      <c r="B191" s="146" t="s">
        <v>365</v>
      </c>
      <c r="C191" s="238">
        <v>18520</v>
      </c>
      <c r="D191" s="281"/>
      <c r="E191" s="106"/>
      <c r="F191" s="291">
        <f t="shared" si="7"/>
        <v>13596</v>
      </c>
      <c r="G191" s="106">
        <f t="shared" si="8"/>
        <v>4924</v>
      </c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>
        <v>2017</v>
      </c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G191" s="100">
        <v>11579</v>
      </c>
      <c r="AH191" s="100"/>
      <c r="AI191" s="100"/>
      <c r="AJ191" s="100"/>
    </row>
    <row r="192" spans="1:36" ht="16.5" hidden="1" thickBot="1" x14ac:dyDescent="0.3">
      <c r="A192" s="145" t="s">
        <v>367</v>
      </c>
      <c r="B192" s="146" t="s">
        <v>366</v>
      </c>
      <c r="C192" s="238"/>
      <c r="D192" s="281"/>
      <c r="E192" s="106"/>
      <c r="F192" s="291">
        <f t="shared" si="7"/>
        <v>0</v>
      </c>
      <c r="G192" s="106">
        <f t="shared" si="8"/>
        <v>0</v>
      </c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</row>
    <row r="193" spans="1:36" s="20" customFormat="1" ht="16.5" thickBot="1" x14ac:dyDescent="0.3">
      <c r="A193" s="153" t="s">
        <v>375</v>
      </c>
      <c r="B193" s="150" t="s">
        <v>380</v>
      </c>
      <c r="C193" s="238">
        <f>SUMIF(D13:D192,"9025",E13:E192)</f>
        <v>0</v>
      </c>
      <c r="D193" s="281"/>
      <c r="E193" s="106"/>
      <c r="F193" s="291">
        <f t="shared" si="7"/>
        <v>0</v>
      </c>
      <c r="G193" s="106">
        <f t="shared" ref="G193:G201" si="9">IF(ISBLANK(E193),C193-F193,C193-E193)</f>
        <v>0</v>
      </c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</row>
    <row r="194" spans="1:36" s="20" customFormat="1" ht="16.5" thickBot="1" x14ac:dyDescent="0.3">
      <c r="A194" s="153" t="s">
        <v>376</v>
      </c>
      <c r="B194" s="150" t="s">
        <v>381</v>
      </c>
      <c r="C194" s="238">
        <f>SUMIF(D13:D192,"9035",E13:E192)</f>
        <v>1684</v>
      </c>
      <c r="D194" s="281"/>
      <c r="E194" s="106"/>
      <c r="F194" s="291">
        <f t="shared" si="7"/>
        <v>1684</v>
      </c>
      <c r="G194" s="106">
        <f t="shared" si="9"/>
        <v>0</v>
      </c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>
        <v>1684</v>
      </c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</row>
    <row r="195" spans="1:36" s="20" customFormat="1" ht="16.5" thickBot="1" x14ac:dyDescent="0.3">
      <c r="A195" s="153">
        <v>9040</v>
      </c>
      <c r="B195" s="66" t="s">
        <v>382</v>
      </c>
      <c r="C195" s="238">
        <f>SUMIF(D13:D192,"9040",E13:E192)</f>
        <v>0</v>
      </c>
      <c r="D195" s="281"/>
      <c r="E195" s="106"/>
      <c r="F195" s="291">
        <f t="shared" si="7"/>
        <v>0</v>
      </c>
      <c r="G195" s="106">
        <f t="shared" ref="G195:G197" si="10">IF(ISBLANK(E195),C195-F195,C195-E195)</f>
        <v>0</v>
      </c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</row>
    <row r="196" spans="1:36" s="20" customFormat="1" ht="16.5" thickBot="1" x14ac:dyDescent="0.3">
      <c r="A196" s="64">
        <v>9050</v>
      </c>
      <c r="B196" s="66" t="s">
        <v>412</v>
      </c>
      <c r="C196" s="238">
        <f>SUMIF(D13:D192,"9050",E13:E192)</f>
        <v>0</v>
      </c>
      <c r="D196" s="281"/>
      <c r="E196" s="106"/>
      <c r="F196" s="291">
        <f t="shared" si="7"/>
        <v>0</v>
      </c>
      <c r="G196" s="291">
        <f t="shared" si="10"/>
        <v>0</v>
      </c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</row>
    <row r="197" spans="1:36" s="20" customFormat="1" ht="16.5" thickBot="1" x14ac:dyDescent="0.3">
      <c r="A197" s="64">
        <v>9055</v>
      </c>
      <c r="B197" s="66" t="s">
        <v>413</v>
      </c>
      <c r="C197" s="238">
        <f>SUMIF(D13:D192,"9055",E13:E192)</f>
        <v>1684</v>
      </c>
      <c r="D197" s="281"/>
      <c r="E197" s="106"/>
      <c r="F197" s="291">
        <f t="shared" si="7"/>
        <v>1561</v>
      </c>
      <c r="G197" s="291">
        <f t="shared" si="10"/>
        <v>123</v>
      </c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>
        <v>1561</v>
      </c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</row>
    <row r="198" spans="1:36" s="20" customFormat="1" ht="16.5" thickBot="1" x14ac:dyDescent="0.3">
      <c r="A198" s="153">
        <v>9060</v>
      </c>
      <c r="B198" s="151" t="s">
        <v>414</v>
      </c>
      <c r="C198" s="238">
        <f>SUMIF(D13:D192,"9060",E13:E192)</f>
        <v>5051</v>
      </c>
      <c r="D198" s="281"/>
      <c r="E198" s="106"/>
      <c r="F198" s="291">
        <f t="shared" si="7"/>
        <v>0</v>
      </c>
      <c r="G198" s="106">
        <f t="shared" si="9"/>
        <v>5051</v>
      </c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</row>
    <row r="199" spans="1:36" s="20" customFormat="1" ht="16.5" thickBot="1" x14ac:dyDescent="0.3">
      <c r="A199" s="153">
        <v>9075</v>
      </c>
      <c r="B199" s="65" t="s">
        <v>415</v>
      </c>
      <c r="C199" s="238">
        <f>SUMIF(D13:D192,"9075",E13:E192)</f>
        <v>842</v>
      </c>
      <c r="D199" s="281"/>
      <c r="E199" s="106"/>
      <c r="F199" s="291">
        <f t="shared" si="7"/>
        <v>842</v>
      </c>
      <c r="G199" s="106">
        <f t="shared" ref="G199" si="11">IF(ISBLANK(E199),C199-F199,C199-E199)</f>
        <v>0</v>
      </c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>
        <v>318</v>
      </c>
      <c r="T199" s="100"/>
      <c r="U199" s="100"/>
      <c r="V199" s="100"/>
      <c r="W199" s="100"/>
      <c r="X199" s="100"/>
      <c r="Y199" s="100"/>
      <c r="Z199" s="100"/>
      <c r="AA199" s="100"/>
      <c r="AB199" s="100">
        <v>524</v>
      </c>
      <c r="AC199" s="100"/>
      <c r="AD199" s="100"/>
      <c r="AE199" s="100"/>
      <c r="AF199" s="100"/>
      <c r="AG199" s="100"/>
      <c r="AH199" s="100"/>
      <c r="AI199" s="100"/>
      <c r="AJ199" s="100"/>
    </row>
    <row r="200" spans="1:36" s="20" customFormat="1" ht="16.5" thickBot="1" x14ac:dyDescent="0.3">
      <c r="A200" s="153" t="s">
        <v>378</v>
      </c>
      <c r="B200" s="150" t="s">
        <v>383</v>
      </c>
      <c r="C200" s="238">
        <f>SUMIF(D13:D192,"9095",E13:E192)</f>
        <v>4209</v>
      </c>
      <c r="D200" s="281"/>
      <c r="E200" s="106"/>
      <c r="F200" s="291">
        <f t="shared" si="7"/>
        <v>4209</v>
      </c>
      <c r="G200" s="106">
        <f t="shared" si="9"/>
        <v>0</v>
      </c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>
        <v>4209</v>
      </c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</row>
    <row r="201" spans="1:36" s="20" customFormat="1" ht="16.5" thickBot="1" x14ac:dyDescent="0.3">
      <c r="A201" s="153" t="s">
        <v>379</v>
      </c>
      <c r="B201" s="152" t="s">
        <v>384</v>
      </c>
      <c r="C201" s="238">
        <f>SUMIF(D13:D192,"9125",E13:E192)</f>
        <v>0</v>
      </c>
      <c r="D201" s="281"/>
      <c r="E201" s="106"/>
      <c r="F201" s="291">
        <f t="shared" si="7"/>
        <v>0</v>
      </c>
      <c r="G201" s="106">
        <f t="shared" si="9"/>
        <v>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s="20" customFormat="1" ht="18.75" thickBot="1" x14ac:dyDescent="0.3">
      <c r="A202" s="153"/>
      <c r="B202" s="152"/>
      <c r="C202" s="238"/>
      <c r="D202" s="148"/>
      <c r="E202" s="106"/>
      <c r="F202" s="106"/>
      <c r="G202" s="18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s="189" customFormat="1" ht="16.5" thickBot="1" x14ac:dyDescent="0.3">
      <c r="A203" s="187"/>
      <c r="B203" s="187"/>
      <c r="C203" s="239">
        <f>SUM(C13:C201)-E203</f>
        <v>862879</v>
      </c>
      <c r="D203" s="172"/>
      <c r="E203" s="171">
        <f t="shared" ref="E203:K203" si="12">SUM(E13:E201)</f>
        <v>13470</v>
      </c>
      <c r="F203" s="171">
        <f t="shared" si="12"/>
        <v>777296</v>
      </c>
      <c r="G203" s="171">
        <f t="shared" si="12"/>
        <v>85583</v>
      </c>
      <c r="H203" s="188">
        <f t="shared" si="12"/>
        <v>0</v>
      </c>
      <c r="I203" s="184">
        <f t="shared" si="12"/>
        <v>0</v>
      </c>
      <c r="J203" s="184">
        <f t="shared" si="12"/>
        <v>0</v>
      </c>
      <c r="K203" s="184">
        <f t="shared" si="12"/>
        <v>0</v>
      </c>
      <c r="L203" s="184">
        <f t="shared" ref="L203:AH203" si="13">SUM(L13:L201)</f>
        <v>5062</v>
      </c>
      <c r="M203" s="184">
        <f t="shared" si="13"/>
        <v>3006</v>
      </c>
      <c r="N203" s="184">
        <f t="shared" si="13"/>
        <v>17896</v>
      </c>
      <c r="O203" s="184">
        <f t="shared" si="13"/>
        <v>58313</v>
      </c>
      <c r="P203" s="184">
        <f t="shared" si="13"/>
        <v>25264</v>
      </c>
      <c r="Q203" s="184">
        <f t="shared" si="13"/>
        <v>20628</v>
      </c>
      <c r="R203" s="184">
        <f t="shared" si="13"/>
        <v>22854</v>
      </c>
      <c r="S203" s="184">
        <f t="shared" si="13"/>
        <v>92875</v>
      </c>
      <c r="T203" s="184">
        <f t="shared" si="13"/>
        <v>2017</v>
      </c>
      <c r="U203" s="184">
        <f t="shared" si="13"/>
        <v>53686</v>
      </c>
      <c r="V203" s="184">
        <f t="shared" si="13"/>
        <v>440</v>
      </c>
      <c r="W203" s="184">
        <f t="shared" si="13"/>
        <v>6068</v>
      </c>
      <c r="X203" s="184">
        <f t="shared" si="13"/>
        <v>33536</v>
      </c>
      <c r="Y203" s="184">
        <f t="shared" si="13"/>
        <v>51392</v>
      </c>
      <c r="Z203" s="184">
        <f t="shared" si="13"/>
        <v>153799</v>
      </c>
      <c r="AA203" s="184">
        <f t="shared" si="13"/>
        <v>30608</v>
      </c>
      <c r="AB203" s="184">
        <f t="shared" si="13"/>
        <v>42280</v>
      </c>
      <c r="AC203" s="184">
        <f t="shared" si="13"/>
        <v>7004</v>
      </c>
      <c r="AD203" s="184">
        <f t="shared" si="13"/>
        <v>26141</v>
      </c>
      <c r="AE203" s="184">
        <f t="shared" si="13"/>
        <v>8237</v>
      </c>
      <c r="AF203" s="184">
        <f t="shared" si="13"/>
        <v>48678</v>
      </c>
      <c r="AG203" s="184">
        <f t="shared" si="13"/>
        <v>46604</v>
      </c>
      <c r="AH203" s="184">
        <f t="shared" si="13"/>
        <v>0</v>
      </c>
      <c r="AI203" s="184">
        <f t="shared" ref="AI203:AJ203" si="14">SUM(AI13:AI201)</f>
        <v>16605</v>
      </c>
      <c r="AJ203" s="184">
        <f t="shared" si="14"/>
        <v>4303</v>
      </c>
    </row>
    <row r="204" spans="1:36" s="21" customFormat="1" ht="15.75" x14ac:dyDescent="0.25">
      <c r="A204" s="140"/>
      <c r="B204" s="141"/>
      <c r="C204" s="141"/>
      <c r="D204" s="142"/>
      <c r="E204" s="142"/>
      <c r="F204" s="143"/>
      <c r="G204" s="144"/>
    </row>
    <row r="205" spans="1:36" x14ac:dyDescent="0.25">
      <c r="O205" s="256"/>
      <c r="Q205" s="256"/>
      <c r="R205" s="256"/>
      <c r="V205" s="256"/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</sheetPr>
  <dimension ref="A1:AF201"/>
  <sheetViews>
    <sheetView workbookViewId="0">
      <pane xSplit="5" ySplit="19" topLeftCell="AC20" activePane="bottomRight" state="frozen"/>
      <selection pane="topRight" activeCell="F1" sqref="F1"/>
      <selection pane="bottomLeft" activeCell="A19" sqref="A19"/>
      <selection pane="bottomRight" activeCell="AC20" sqref="AC20"/>
    </sheetView>
  </sheetViews>
  <sheetFormatPr defaultColWidth="9.140625" defaultRowHeight="15" x14ac:dyDescent="0.25"/>
  <cols>
    <col min="1" max="1" width="9.140625" style="2"/>
    <col min="2" max="2" width="36.7109375" style="2" customWidth="1"/>
    <col min="3" max="3" width="20.85546875" style="2" customWidth="1"/>
    <col min="4" max="4" width="18.85546875" style="2" customWidth="1"/>
    <col min="5" max="5" width="17" style="2" customWidth="1"/>
    <col min="6" max="32" width="15.7109375" style="2" customWidth="1"/>
    <col min="33" max="16384" width="9.140625" style="2"/>
  </cols>
  <sheetData>
    <row r="1" spans="1:32" ht="21" x14ac:dyDescent="0.35">
      <c r="A1" s="26" t="s">
        <v>0</v>
      </c>
      <c r="B1" s="27"/>
      <c r="C1" s="28" t="s">
        <v>410</v>
      </c>
      <c r="D1" s="26"/>
      <c r="E1" s="29"/>
      <c r="F1" s="30"/>
      <c r="G1" s="30"/>
      <c r="H1" s="28" t="str">
        <f>A1</f>
        <v>Grant:</v>
      </c>
      <c r="I1" s="28" t="str">
        <f>C1</f>
        <v>Title VI Rural Low Income Formula</v>
      </c>
      <c r="J1" s="26"/>
      <c r="K1" s="26"/>
      <c r="L1" s="29"/>
      <c r="M1" s="29"/>
      <c r="N1" s="30"/>
      <c r="O1" s="30"/>
      <c r="P1" s="28" t="s">
        <v>0</v>
      </c>
      <c r="Q1" s="28" t="str">
        <f>$I$1</f>
        <v>Title VI Rural Low Income Formula</v>
      </c>
      <c r="R1" s="26"/>
      <c r="S1" s="26"/>
      <c r="T1" s="29"/>
      <c r="U1" s="29"/>
      <c r="V1" s="30"/>
      <c r="W1" s="30"/>
      <c r="X1" s="28" t="s">
        <v>0</v>
      </c>
      <c r="Y1" s="28" t="str">
        <f>$I$1</f>
        <v>Title VI Rural Low Income Formula</v>
      </c>
      <c r="Z1" s="26"/>
      <c r="AA1" s="26"/>
      <c r="AB1" s="29"/>
      <c r="AC1" s="29"/>
      <c r="AD1" s="30"/>
      <c r="AE1" s="30"/>
      <c r="AF1" s="28"/>
    </row>
    <row r="2" spans="1:32" ht="21" x14ac:dyDescent="0.35">
      <c r="A2" s="31" t="s">
        <v>1</v>
      </c>
      <c r="B2" s="27"/>
      <c r="C2" s="32">
        <v>84.358000000000004</v>
      </c>
      <c r="D2" s="31"/>
      <c r="E2" s="33"/>
      <c r="F2" s="30"/>
      <c r="G2" s="30"/>
      <c r="H2" s="31" t="s">
        <v>2</v>
      </c>
      <c r="I2" s="28" t="str">
        <f>$C$4</f>
        <v>2013-14</v>
      </c>
      <c r="J2" s="28" t="s">
        <v>396</v>
      </c>
      <c r="K2" s="34"/>
      <c r="L2" s="33"/>
      <c r="M2" s="33"/>
      <c r="N2" s="33"/>
      <c r="O2" s="33"/>
      <c r="P2" s="31" t="s">
        <v>2</v>
      </c>
      <c r="Q2" s="28" t="str">
        <f>$C$4</f>
        <v>2013-14</v>
      </c>
      <c r="R2" s="34"/>
      <c r="S2" s="34"/>
      <c r="T2" s="33"/>
      <c r="U2" s="33"/>
      <c r="V2" s="33"/>
      <c r="W2" s="33"/>
      <c r="X2" s="31" t="s">
        <v>2</v>
      </c>
      <c r="Y2" s="28" t="str">
        <f>$C$4</f>
        <v>2013-14</v>
      </c>
      <c r="Z2" s="34" t="s">
        <v>396</v>
      </c>
      <c r="AA2" s="34"/>
      <c r="AB2" s="33"/>
      <c r="AC2" s="33"/>
      <c r="AD2" s="33"/>
      <c r="AE2" s="33"/>
      <c r="AF2" s="31"/>
    </row>
    <row r="3" spans="1:32" ht="15.75" x14ac:dyDescent="0.25">
      <c r="A3" s="31" t="s">
        <v>4</v>
      </c>
      <c r="B3" s="27"/>
      <c r="C3" s="34">
        <v>7358</v>
      </c>
      <c r="D3" s="31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21" x14ac:dyDescent="0.35">
      <c r="A4" s="31" t="s">
        <v>2</v>
      </c>
      <c r="B4" s="27"/>
      <c r="C4" s="28" t="str">
        <f>'NCLB Title I-A Formula'!$C$4</f>
        <v>2013-14</v>
      </c>
      <c r="D4" s="33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5.75" x14ac:dyDescent="0.25">
      <c r="A5" s="31" t="s">
        <v>437</v>
      </c>
      <c r="B5" s="27"/>
      <c r="C5" s="231" t="s">
        <v>479</v>
      </c>
      <c r="D5" s="31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5.75" x14ac:dyDescent="0.25">
      <c r="A6" s="31" t="s">
        <v>5</v>
      </c>
      <c r="B6" s="27"/>
      <c r="C6" s="231" t="s">
        <v>369</v>
      </c>
      <c r="D6" s="31"/>
      <c r="E6" s="35"/>
      <c r="F6" s="35"/>
      <c r="G6" s="35"/>
      <c r="H6" s="35"/>
      <c r="I6" s="3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20" customFormat="1" ht="15.75" x14ac:dyDescent="0.25">
      <c r="A7" s="31"/>
      <c r="B7" s="27"/>
      <c r="C7" s="231" t="s">
        <v>487</v>
      </c>
      <c r="D7" s="31"/>
      <c r="E7" s="35"/>
      <c r="F7" s="35"/>
      <c r="G7" s="35"/>
      <c r="H7" s="35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5.75" x14ac:dyDescent="0.25">
      <c r="A8" s="31"/>
      <c r="B8" s="27"/>
      <c r="C8" s="31"/>
      <c r="D8" s="31"/>
      <c r="E8" s="35"/>
      <c r="F8" s="35"/>
      <c r="G8" s="35"/>
      <c r="H8" s="35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5.75" x14ac:dyDescent="0.25">
      <c r="A9" s="31" t="s">
        <v>388</v>
      </c>
      <c r="B9" s="27"/>
      <c r="C9" s="31" t="s">
        <v>477</v>
      </c>
      <c r="D9" s="33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5.75" x14ac:dyDescent="0.25">
      <c r="A10" s="31" t="s">
        <v>389</v>
      </c>
      <c r="B10" s="27"/>
      <c r="C10" s="31" t="s">
        <v>390</v>
      </c>
      <c r="D10" s="33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s="20" customFormat="1" ht="16.5" thickBot="1" x14ac:dyDescent="0.3">
      <c r="A11" s="31" t="s">
        <v>438</v>
      </c>
      <c r="B11" s="27"/>
      <c r="C11" s="31" t="s">
        <v>478</v>
      </c>
      <c r="D11" s="33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s="5" customFormat="1" ht="32.25" customHeight="1" thickBot="1" x14ac:dyDescent="0.3">
      <c r="A12" s="129" t="s">
        <v>370</v>
      </c>
      <c r="B12" s="129" t="s">
        <v>371</v>
      </c>
      <c r="C12" s="129" t="s">
        <v>372</v>
      </c>
      <c r="D12" s="129" t="s">
        <v>373</v>
      </c>
      <c r="E12" s="72" t="s">
        <v>374</v>
      </c>
      <c r="F12" s="132" t="s">
        <v>385</v>
      </c>
      <c r="G12" s="132" t="s">
        <v>386</v>
      </c>
      <c r="H12" s="132" t="s">
        <v>387</v>
      </c>
      <c r="I12" s="132" t="s">
        <v>450</v>
      </c>
      <c r="J12" s="132" t="s">
        <v>451</v>
      </c>
      <c r="K12" s="132" t="s">
        <v>452</v>
      </c>
      <c r="L12" s="132" t="s">
        <v>453</v>
      </c>
      <c r="M12" s="132" t="s">
        <v>454</v>
      </c>
      <c r="N12" s="132" t="s">
        <v>455</v>
      </c>
      <c r="O12" s="132" t="s">
        <v>456</v>
      </c>
      <c r="P12" s="132" t="s">
        <v>457</v>
      </c>
      <c r="Q12" s="132" t="s">
        <v>458</v>
      </c>
      <c r="R12" s="132" t="s">
        <v>447</v>
      </c>
      <c r="S12" s="132" t="s">
        <v>448</v>
      </c>
      <c r="T12" s="132" t="s">
        <v>449</v>
      </c>
      <c r="U12" s="132" t="s">
        <v>464</v>
      </c>
      <c r="V12" s="132" t="s">
        <v>465</v>
      </c>
      <c r="W12" s="132" t="s">
        <v>466</v>
      </c>
      <c r="X12" s="132" t="s">
        <v>467</v>
      </c>
      <c r="Y12" s="132" t="s">
        <v>468</v>
      </c>
      <c r="Z12" s="132" t="s">
        <v>469</v>
      </c>
      <c r="AA12" s="132" t="s">
        <v>470</v>
      </c>
      <c r="AB12" s="132" t="s">
        <v>471</v>
      </c>
      <c r="AC12" s="132" t="s">
        <v>472</v>
      </c>
      <c r="AD12" s="132" t="s">
        <v>473</v>
      </c>
      <c r="AE12" s="132" t="s">
        <v>474</v>
      </c>
      <c r="AF12" s="132" t="s">
        <v>475</v>
      </c>
    </row>
    <row r="13" spans="1:32" ht="18.75" hidden="1" x14ac:dyDescent="0.3">
      <c r="A13" s="14" t="s">
        <v>8</v>
      </c>
      <c r="B13" s="15" t="s">
        <v>186</v>
      </c>
      <c r="C13" s="1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hidden="1" x14ac:dyDescent="0.3">
      <c r="A14" s="6" t="s">
        <v>9</v>
      </c>
      <c r="B14" s="7" t="s">
        <v>187</v>
      </c>
      <c r="C14" s="10"/>
    </row>
    <row r="15" spans="1:32" ht="18.75" hidden="1" x14ac:dyDescent="0.3">
      <c r="A15" s="6" t="s">
        <v>10</v>
      </c>
      <c r="B15" s="7" t="s">
        <v>188</v>
      </c>
      <c r="C15" s="10"/>
    </row>
    <row r="16" spans="1:32" ht="18.75" hidden="1" x14ac:dyDescent="0.3">
      <c r="A16" s="6" t="s">
        <v>11</v>
      </c>
      <c r="B16" s="7" t="s">
        <v>189</v>
      </c>
      <c r="C16" s="10"/>
    </row>
    <row r="17" spans="1:32" ht="18.75" hidden="1" x14ac:dyDescent="0.3">
      <c r="A17" s="6" t="s">
        <v>12</v>
      </c>
      <c r="B17" s="7" t="s">
        <v>190</v>
      </c>
      <c r="C17" s="11"/>
    </row>
    <row r="18" spans="1:32" ht="18.75" hidden="1" x14ac:dyDescent="0.3">
      <c r="A18" s="6" t="s">
        <v>13</v>
      </c>
      <c r="B18" s="7" t="s">
        <v>191</v>
      </c>
      <c r="C18" s="11"/>
    </row>
    <row r="19" spans="1:32" ht="18.75" hidden="1" x14ac:dyDescent="0.3">
      <c r="A19" s="6" t="s">
        <v>14</v>
      </c>
      <c r="B19" s="7" t="s">
        <v>192</v>
      </c>
      <c r="C19" s="11"/>
    </row>
    <row r="20" spans="1:32" ht="16.5" thickBot="1" x14ac:dyDescent="0.3">
      <c r="A20" s="94" t="s">
        <v>15</v>
      </c>
      <c r="B20" s="95" t="s">
        <v>193</v>
      </c>
      <c r="C20" s="103">
        <v>32887</v>
      </c>
      <c r="D20" s="103">
        <f t="shared" ref="D20:D30" si="0">SUM(F20:AF20)</f>
        <v>32887</v>
      </c>
      <c r="E20" s="103">
        <f>C20-D20</f>
        <v>0</v>
      </c>
      <c r="F20" s="101"/>
      <c r="G20" s="101"/>
      <c r="H20" s="101"/>
      <c r="I20" s="101">
        <v>16092</v>
      </c>
      <c r="J20" s="101">
        <v>1634</v>
      </c>
      <c r="K20" s="101"/>
      <c r="L20" s="101">
        <v>1760</v>
      </c>
      <c r="M20" s="101">
        <v>1575</v>
      </c>
      <c r="N20" s="101">
        <v>1575</v>
      </c>
      <c r="O20" s="101"/>
      <c r="P20" s="101">
        <v>6492</v>
      </c>
      <c r="Q20" s="101">
        <v>2379</v>
      </c>
      <c r="R20" s="101"/>
      <c r="S20" s="101"/>
      <c r="T20" s="101"/>
      <c r="U20" s="101"/>
      <c r="V20" s="101"/>
      <c r="W20" s="101"/>
      <c r="X20" s="101"/>
      <c r="Y20" s="101"/>
      <c r="Z20" s="101"/>
      <c r="AA20" s="101">
        <v>1380</v>
      </c>
      <c r="AB20" s="101"/>
      <c r="AC20" s="101"/>
      <c r="AD20" s="101"/>
      <c r="AE20" s="101"/>
      <c r="AF20" s="101"/>
    </row>
    <row r="21" spans="1:32" ht="16.5" hidden="1" thickBot="1" x14ac:dyDescent="0.3">
      <c r="A21" s="88" t="s">
        <v>16</v>
      </c>
      <c r="B21" s="59" t="s">
        <v>194</v>
      </c>
      <c r="C21" s="104"/>
      <c r="D21" s="103">
        <f t="shared" si="0"/>
        <v>0</v>
      </c>
      <c r="E21" s="103">
        <f>C21-D21</f>
        <v>0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ht="16.5" hidden="1" thickBot="1" x14ac:dyDescent="0.3">
      <c r="A22" s="88" t="s">
        <v>17</v>
      </c>
      <c r="B22" s="59" t="s">
        <v>195</v>
      </c>
      <c r="C22" s="104"/>
      <c r="D22" s="103">
        <f t="shared" si="0"/>
        <v>0</v>
      </c>
      <c r="E22" s="103">
        <f>C22-D22</f>
        <v>0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ht="16.5" hidden="1" thickBot="1" x14ac:dyDescent="0.3">
      <c r="A23" s="88" t="s">
        <v>18</v>
      </c>
      <c r="B23" s="59" t="s">
        <v>196</v>
      </c>
      <c r="C23" s="104"/>
      <c r="D23" s="103">
        <f t="shared" si="0"/>
        <v>0</v>
      </c>
      <c r="E23" s="103">
        <f t="shared" ref="E23:E28" si="1">C23-D23</f>
        <v>0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ht="16.5" hidden="1" thickBot="1" x14ac:dyDescent="0.3">
      <c r="A24" s="88" t="s">
        <v>19</v>
      </c>
      <c r="B24" s="59" t="s">
        <v>197</v>
      </c>
      <c r="C24" s="104"/>
      <c r="D24" s="103">
        <f t="shared" si="0"/>
        <v>0</v>
      </c>
      <c r="E24" s="103">
        <f t="shared" si="1"/>
        <v>0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</row>
    <row r="25" spans="1:32" ht="16.5" hidden="1" thickBot="1" x14ac:dyDescent="0.3">
      <c r="A25" s="88" t="s">
        <v>20</v>
      </c>
      <c r="B25" s="59" t="s">
        <v>198</v>
      </c>
      <c r="C25" s="104"/>
      <c r="D25" s="103">
        <f t="shared" si="0"/>
        <v>0</v>
      </c>
      <c r="E25" s="103">
        <f t="shared" si="1"/>
        <v>0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</row>
    <row r="26" spans="1:32" ht="16.5" hidden="1" thickBot="1" x14ac:dyDescent="0.3">
      <c r="A26" s="88" t="s">
        <v>21</v>
      </c>
      <c r="B26" s="59" t="s">
        <v>199</v>
      </c>
      <c r="C26" s="104"/>
      <c r="D26" s="103">
        <f t="shared" si="0"/>
        <v>0</v>
      </c>
      <c r="E26" s="103">
        <f t="shared" si="1"/>
        <v>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</row>
    <row r="27" spans="1:32" ht="16.5" hidden="1" thickBot="1" x14ac:dyDescent="0.3">
      <c r="A27" s="88" t="s">
        <v>22</v>
      </c>
      <c r="B27" s="59" t="s">
        <v>200</v>
      </c>
      <c r="C27" s="104"/>
      <c r="D27" s="103">
        <f t="shared" si="0"/>
        <v>0</v>
      </c>
      <c r="E27" s="103">
        <f t="shared" si="1"/>
        <v>0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  <row r="28" spans="1:32" ht="16.5" hidden="1" thickBot="1" x14ac:dyDescent="0.3">
      <c r="A28" s="88" t="s">
        <v>23</v>
      </c>
      <c r="B28" s="59" t="s">
        <v>201</v>
      </c>
      <c r="C28" s="104"/>
      <c r="D28" s="103">
        <f t="shared" si="0"/>
        <v>0</v>
      </c>
      <c r="E28" s="103">
        <f t="shared" si="1"/>
        <v>0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</row>
    <row r="29" spans="1:32" ht="16.5" hidden="1" thickBot="1" x14ac:dyDescent="0.3">
      <c r="A29" s="88" t="s">
        <v>24</v>
      </c>
      <c r="B29" s="59" t="s">
        <v>202</v>
      </c>
      <c r="C29" s="104"/>
      <c r="D29" s="103">
        <f t="shared" si="0"/>
        <v>0</v>
      </c>
      <c r="E29" s="103">
        <f>C29-D29</f>
        <v>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</row>
    <row r="30" spans="1:32" ht="16.5" hidden="1" thickBot="1" x14ac:dyDescent="0.3">
      <c r="A30" s="88" t="s">
        <v>25</v>
      </c>
      <c r="B30" s="59" t="s">
        <v>203</v>
      </c>
      <c r="C30" s="104"/>
      <c r="D30" s="103">
        <f t="shared" si="0"/>
        <v>0</v>
      </c>
      <c r="E30" s="103">
        <f>C30-D30</f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</row>
    <row r="31" spans="1:32" ht="16.5" hidden="1" thickBot="1" x14ac:dyDescent="0.3">
      <c r="A31" s="88" t="s">
        <v>26</v>
      </c>
      <c r="B31" s="59" t="s">
        <v>204</v>
      </c>
      <c r="C31" s="104"/>
      <c r="D31" s="103">
        <f t="shared" ref="D31:D75" si="2">SUM(F31:AF31)</f>
        <v>0</v>
      </c>
      <c r="E31" s="103">
        <f t="shared" ref="E31:E75" si="3">C31-D31</f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</row>
    <row r="32" spans="1:32" ht="16.5" hidden="1" thickBot="1" x14ac:dyDescent="0.3">
      <c r="A32" s="88" t="s">
        <v>27</v>
      </c>
      <c r="B32" s="59" t="s">
        <v>205</v>
      </c>
      <c r="C32" s="104"/>
      <c r="D32" s="103">
        <f t="shared" si="2"/>
        <v>0</v>
      </c>
      <c r="E32" s="103">
        <f t="shared" si="3"/>
        <v>0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</row>
    <row r="33" spans="1:32" ht="16.5" hidden="1" thickBot="1" x14ac:dyDescent="0.3">
      <c r="A33" s="88" t="s">
        <v>28</v>
      </c>
      <c r="B33" s="59" t="s">
        <v>206</v>
      </c>
      <c r="C33" s="104"/>
      <c r="D33" s="103">
        <f t="shared" si="2"/>
        <v>0</v>
      </c>
      <c r="E33" s="103">
        <f t="shared" si="3"/>
        <v>0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</row>
    <row r="34" spans="1:32" ht="16.5" hidden="1" thickBot="1" x14ac:dyDescent="0.3">
      <c r="A34" s="88" t="s">
        <v>29</v>
      </c>
      <c r="B34" s="59" t="s">
        <v>207</v>
      </c>
      <c r="C34" s="104"/>
      <c r="D34" s="103">
        <f t="shared" si="2"/>
        <v>0</v>
      </c>
      <c r="E34" s="103">
        <f t="shared" si="3"/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</row>
    <row r="35" spans="1:32" ht="16.5" hidden="1" thickBot="1" x14ac:dyDescent="0.3">
      <c r="A35" s="88" t="s">
        <v>30</v>
      </c>
      <c r="B35" s="59" t="s">
        <v>208</v>
      </c>
      <c r="C35" s="104"/>
      <c r="D35" s="103">
        <f t="shared" si="2"/>
        <v>0</v>
      </c>
      <c r="E35" s="103">
        <f t="shared" si="3"/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</row>
    <row r="36" spans="1:32" ht="16.5" hidden="1" thickBot="1" x14ac:dyDescent="0.3">
      <c r="A36" s="88" t="s">
        <v>31</v>
      </c>
      <c r="B36" s="59" t="s">
        <v>209</v>
      </c>
      <c r="C36" s="104"/>
      <c r="D36" s="103">
        <f t="shared" si="2"/>
        <v>0</v>
      </c>
      <c r="E36" s="103">
        <f t="shared" si="3"/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:32" ht="16.5" hidden="1" thickBot="1" x14ac:dyDescent="0.3">
      <c r="A37" s="88" t="s">
        <v>32</v>
      </c>
      <c r="B37" s="59" t="s">
        <v>210</v>
      </c>
      <c r="C37" s="104"/>
      <c r="D37" s="103">
        <f t="shared" si="2"/>
        <v>0</v>
      </c>
      <c r="E37" s="103">
        <f t="shared" si="3"/>
        <v>0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:32" ht="16.5" hidden="1" thickBot="1" x14ac:dyDescent="0.3">
      <c r="A38" s="88" t="s">
        <v>33</v>
      </c>
      <c r="B38" s="59" t="s">
        <v>211</v>
      </c>
      <c r="C38" s="104"/>
      <c r="D38" s="103">
        <f t="shared" si="2"/>
        <v>0</v>
      </c>
      <c r="E38" s="103">
        <f t="shared" si="3"/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:32" ht="16.5" hidden="1" thickBot="1" x14ac:dyDescent="0.3">
      <c r="A39" s="88" t="s">
        <v>34</v>
      </c>
      <c r="B39" s="59" t="s">
        <v>212</v>
      </c>
      <c r="C39" s="104"/>
      <c r="D39" s="103">
        <f t="shared" si="2"/>
        <v>0</v>
      </c>
      <c r="E39" s="103">
        <f t="shared" si="3"/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:32" ht="16.5" hidden="1" thickBot="1" x14ac:dyDescent="0.3">
      <c r="A40" s="88" t="s">
        <v>35</v>
      </c>
      <c r="B40" s="59" t="s">
        <v>213</v>
      </c>
      <c r="C40" s="104"/>
      <c r="D40" s="103">
        <f t="shared" si="2"/>
        <v>0</v>
      </c>
      <c r="E40" s="103">
        <f t="shared" si="3"/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:32" ht="16.5" hidden="1" thickBot="1" x14ac:dyDescent="0.3">
      <c r="A41" s="88" t="s">
        <v>36</v>
      </c>
      <c r="B41" s="59" t="s">
        <v>214</v>
      </c>
      <c r="C41" s="104"/>
      <c r="D41" s="103">
        <f t="shared" si="2"/>
        <v>0</v>
      </c>
      <c r="E41" s="103">
        <f t="shared" si="3"/>
        <v>0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ht="16.5" hidden="1" thickBot="1" x14ac:dyDescent="0.3">
      <c r="A42" s="88" t="s">
        <v>37</v>
      </c>
      <c r="B42" s="59" t="s">
        <v>215</v>
      </c>
      <c r="C42" s="104"/>
      <c r="D42" s="103">
        <f t="shared" si="2"/>
        <v>0</v>
      </c>
      <c r="E42" s="103">
        <f t="shared" si="3"/>
        <v>0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:32" ht="16.5" hidden="1" thickBot="1" x14ac:dyDescent="0.3">
      <c r="A43" s="88" t="s">
        <v>38</v>
      </c>
      <c r="B43" s="59" t="s">
        <v>216</v>
      </c>
      <c r="C43" s="104"/>
      <c r="D43" s="103">
        <f t="shared" si="2"/>
        <v>0</v>
      </c>
      <c r="E43" s="103">
        <f t="shared" si="3"/>
        <v>0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2" ht="16.5" thickBot="1" x14ac:dyDescent="0.3">
      <c r="A44" s="88" t="s">
        <v>39</v>
      </c>
      <c r="B44" s="59" t="s">
        <v>217</v>
      </c>
      <c r="C44" s="104">
        <v>16392</v>
      </c>
      <c r="D44" s="103">
        <f t="shared" si="2"/>
        <v>16392</v>
      </c>
      <c r="E44" s="103">
        <f t="shared" si="3"/>
        <v>0</v>
      </c>
      <c r="F44" s="101"/>
      <c r="G44" s="101"/>
      <c r="H44" s="101"/>
      <c r="I44" s="101"/>
      <c r="J44" s="101"/>
      <c r="K44" s="101">
        <v>5292</v>
      </c>
      <c r="L44" s="101"/>
      <c r="M44" s="101"/>
      <c r="N44" s="101"/>
      <c r="O44" s="101"/>
      <c r="P44" s="101"/>
      <c r="Q44" s="101">
        <v>2864</v>
      </c>
      <c r="R44" s="101"/>
      <c r="S44" s="101"/>
      <c r="T44" s="101">
        <v>6244</v>
      </c>
      <c r="U44" s="101">
        <v>825</v>
      </c>
      <c r="V44" s="101">
        <v>179</v>
      </c>
      <c r="W44" s="101"/>
      <c r="X44" s="101"/>
      <c r="Y44" s="101"/>
      <c r="Z44" s="101"/>
      <c r="AA44" s="101"/>
      <c r="AB44" s="101"/>
      <c r="AC44" s="101"/>
      <c r="AD44" s="101"/>
      <c r="AE44" s="101">
        <v>988</v>
      </c>
      <c r="AF44" s="101"/>
    </row>
    <row r="45" spans="1:32" ht="16.5" hidden="1" thickBot="1" x14ac:dyDescent="0.3">
      <c r="A45" s="88" t="s">
        <v>40</v>
      </c>
      <c r="B45" s="59" t="s">
        <v>218</v>
      </c>
      <c r="C45" s="104"/>
      <c r="D45" s="103">
        <f t="shared" si="2"/>
        <v>0</v>
      </c>
      <c r="E45" s="103">
        <f t="shared" si="3"/>
        <v>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2" ht="16.5" hidden="1" thickBot="1" x14ac:dyDescent="0.3">
      <c r="A46" s="88" t="s">
        <v>41</v>
      </c>
      <c r="B46" s="59" t="s">
        <v>219</v>
      </c>
      <c r="C46" s="104"/>
      <c r="D46" s="103">
        <f t="shared" si="2"/>
        <v>0</v>
      </c>
      <c r="E46" s="103">
        <f t="shared" si="3"/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2" ht="16.5" hidden="1" thickBot="1" x14ac:dyDescent="0.3">
      <c r="A47" s="88" t="s">
        <v>42</v>
      </c>
      <c r="B47" s="61" t="s">
        <v>220</v>
      </c>
      <c r="C47" s="104"/>
      <c r="D47" s="103">
        <f t="shared" si="2"/>
        <v>0</v>
      </c>
      <c r="E47" s="103">
        <f t="shared" si="3"/>
        <v>0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2" ht="16.5" hidden="1" thickBot="1" x14ac:dyDescent="0.3">
      <c r="A48" s="88" t="s">
        <v>43</v>
      </c>
      <c r="B48" s="59" t="s">
        <v>221</v>
      </c>
      <c r="C48" s="104"/>
      <c r="D48" s="103">
        <f t="shared" si="2"/>
        <v>0</v>
      </c>
      <c r="E48" s="103">
        <f t="shared" si="3"/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2" ht="16.5" hidden="1" thickBot="1" x14ac:dyDescent="0.3">
      <c r="A49" s="88" t="s">
        <v>44</v>
      </c>
      <c r="B49" s="59" t="s">
        <v>222</v>
      </c>
      <c r="C49" s="104"/>
      <c r="D49" s="103">
        <f t="shared" si="2"/>
        <v>0</v>
      </c>
      <c r="E49" s="103">
        <f t="shared" si="3"/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2" ht="16.5" hidden="1" thickBot="1" x14ac:dyDescent="0.3">
      <c r="A50" s="88" t="s">
        <v>45</v>
      </c>
      <c r="B50" s="59" t="s">
        <v>223</v>
      </c>
      <c r="C50" s="104"/>
      <c r="D50" s="103">
        <f t="shared" si="2"/>
        <v>0</v>
      </c>
      <c r="E50" s="103">
        <f t="shared" si="3"/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2" ht="16.5" thickBot="1" x14ac:dyDescent="0.3">
      <c r="A51" s="88" t="s">
        <v>46</v>
      </c>
      <c r="B51" s="59" t="s">
        <v>224</v>
      </c>
      <c r="C51" s="104">
        <v>80542</v>
      </c>
      <c r="D51" s="103">
        <f t="shared" si="2"/>
        <v>80542</v>
      </c>
      <c r="E51" s="103">
        <f t="shared" si="3"/>
        <v>0</v>
      </c>
      <c r="F51" s="101"/>
      <c r="G51" s="101"/>
      <c r="H51" s="101"/>
      <c r="I51" s="101"/>
      <c r="J51" s="101"/>
      <c r="K51" s="101"/>
      <c r="L51" s="101">
        <v>14451</v>
      </c>
      <c r="M51" s="101">
        <v>2811</v>
      </c>
      <c r="N51" s="101">
        <v>7630</v>
      </c>
      <c r="O51" s="101">
        <v>8407</v>
      </c>
      <c r="P51" s="101">
        <v>6833</v>
      </c>
      <c r="Q51" s="101">
        <v>9591</v>
      </c>
      <c r="R51" s="101">
        <v>14134</v>
      </c>
      <c r="S51" s="101"/>
      <c r="T51" s="101"/>
      <c r="U51" s="101"/>
      <c r="V51" s="101">
        <v>16685</v>
      </c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:32" ht="16.5" hidden="1" thickBot="1" x14ac:dyDescent="0.3">
      <c r="A52" s="88" t="s">
        <v>47</v>
      </c>
      <c r="B52" s="59" t="s">
        <v>225</v>
      </c>
      <c r="C52" s="104"/>
      <c r="D52" s="103">
        <f t="shared" si="2"/>
        <v>0</v>
      </c>
      <c r="E52" s="103">
        <f t="shared" si="3"/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16.5" hidden="1" thickBot="1" x14ac:dyDescent="0.3">
      <c r="A53" s="88" t="s">
        <v>48</v>
      </c>
      <c r="B53" s="59" t="s">
        <v>226</v>
      </c>
      <c r="C53" s="104"/>
      <c r="D53" s="103">
        <f t="shared" si="2"/>
        <v>0</v>
      </c>
      <c r="E53" s="103">
        <f t="shared" si="3"/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:32" ht="16.5" hidden="1" thickBot="1" x14ac:dyDescent="0.3">
      <c r="A54" s="88" t="s">
        <v>49</v>
      </c>
      <c r="B54" s="59" t="s">
        <v>227</v>
      </c>
      <c r="C54" s="104"/>
      <c r="D54" s="103">
        <f t="shared" si="2"/>
        <v>0</v>
      </c>
      <c r="E54" s="103">
        <f t="shared" si="3"/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16.5" hidden="1" thickBot="1" x14ac:dyDescent="0.3">
      <c r="A55" s="88" t="s">
        <v>50</v>
      </c>
      <c r="B55" s="59" t="s">
        <v>228</v>
      </c>
      <c r="C55" s="104"/>
      <c r="D55" s="103">
        <f t="shared" si="2"/>
        <v>0</v>
      </c>
      <c r="E55" s="103">
        <f t="shared" si="3"/>
        <v>0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6.5" hidden="1" thickBot="1" x14ac:dyDescent="0.3">
      <c r="A56" s="88" t="s">
        <v>51</v>
      </c>
      <c r="B56" s="59" t="s">
        <v>229</v>
      </c>
      <c r="C56" s="104"/>
      <c r="D56" s="103">
        <f t="shared" si="2"/>
        <v>0</v>
      </c>
      <c r="E56" s="103">
        <f t="shared" si="3"/>
        <v>0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16.5" hidden="1" thickBot="1" x14ac:dyDescent="0.3">
      <c r="A57" s="88" t="s">
        <v>52</v>
      </c>
      <c r="B57" s="59" t="s">
        <v>230</v>
      </c>
      <c r="C57" s="104"/>
      <c r="D57" s="103">
        <f t="shared" si="2"/>
        <v>0</v>
      </c>
      <c r="E57" s="103">
        <f t="shared" si="3"/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2" ht="16.5" hidden="1" thickBot="1" x14ac:dyDescent="0.3">
      <c r="A58" s="88" t="s">
        <v>53</v>
      </c>
      <c r="B58" s="59" t="s">
        <v>231</v>
      </c>
      <c r="C58" s="104"/>
      <c r="D58" s="103">
        <f t="shared" si="2"/>
        <v>0</v>
      </c>
      <c r="E58" s="103">
        <f t="shared" si="3"/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1:32" ht="16.5" hidden="1" thickBot="1" x14ac:dyDescent="0.3">
      <c r="A59" s="88" t="s">
        <v>54</v>
      </c>
      <c r="B59" s="59" t="s">
        <v>232</v>
      </c>
      <c r="C59" s="104"/>
      <c r="D59" s="103">
        <f t="shared" si="2"/>
        <v>0</v>
      </c>
      <c r="E59" s="103">
        <f t="shared" si="3"/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</row>
    <row r="60" spans="1:32" ht="16.5" hidden="1" thickBot="1" x14ac:dyDescent="0.3">
      <c r="A60" s="88" t="s">
        <v>55</v>
      </c>
      <c r="B60" s="59" t="s">
        <v>233</v>
      </c>
      <c r="C60" s="104"/>
      <c r="D60" s="103">
        <f t="shared" si="2"/>
        <v>0</v>
      </c>
      <c r="E60" s="103">
        <f t="shared" si="3"/>
        <v>0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</row>
    <row r="61" spans="1:32" ht="16.5" hidden="1" thickBot="1" x14ac:dyDescent="0.3">
      <c r="A61" s="88" t="s">
        <v>56</v>
      </c>
      <c r="B61" s="59" t="s">
        <v>234</v>
      </c>
      <c r="C61" s="104"/>
      <c r="D61" s="103">
        <f t="shared" si="2"/>
        <v>0</v>
      </c>
      <c r="E61" s="103">
        <f t="shared" si="3"/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</row>
    <row r="62" spans="1:32" ht="16.5" hidden="1" thickBot="1" x14ac:dyDescent="0.3">
      <c r="A62" s="88" t="s">
        <v>57</v>
      </c>
      <c r="B62" s="59" t="s">
        <v>235</v>
      </c>
      <c r="C62" s="104"/>
      <c r="D62" s="103">
        <f t="shared" si="2"/>
        <v>0</v>
      </c>
      <c r="E62" s="103">
        <f t="shared" si="3"/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3" spans="1:32" ht="16.5" hidden="1" thickBot="1" x14ac:dyDescent="0.3">
      <c r="A63" s="88" t="s">
        <v>58</v>
      </c>
      <c r="B63" s="59" t="s">
        <v>236</v>
      </c>
      <c r="C63" s="104"/>
      <c r="D63" s="103">
        <f t="shared" si="2"/>
        <v>0</v>
      </c>
      <c r="E63" s="103">
        <f t="shared" si="3"/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</row>
    <row r="64" spans="1:32" ht="16.5" hidden="1" thickBot="1" x14ac:dyDescent="0.3">
      <c r="A64" s="88" t="s">
        <v>59</v>
      </c>
      <c r="B64" s="59" t="s">
        <v>237</v>
      </c>
      <c r="C64" s="104"/>
      <c r="D64" s="103">
        <f t="shared" si="2"/>
        <v>0</v>
      </c>
      <c r="E64" s="103">
        <f t="shared" si="3"/>
        <v>0</v>
      </c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16.5" hidden="1" thickBot="1" x14ac:dyDescent="0.3">
      <c r="A65" s="88" t="s">
        <v>60</v>
      </c>
      <c r="B65" s="59" t="s">
        <v>238</v>
      </c>
      <c r="C65" s="104"/>
      <c r="D65" s="103">
        <f t="shared" si="2"/>
        <v>0</v>
      </c>
      <c r="E65" s="103">
        <f t="shared" si="3"/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16.5" hidden="1" thickBot="1" x14ac:dyDescent="0.3">
      <c r="A66" s="88" t="s">
        <v>61</v>
      </c>
      <c r="B66" s="59" t="s">
        <v>239</v>
      </c>
      <c r="C66" s="104"/>
      <c r="D66" s="103">
        <f t="shared" si="2"/>
        <v>0</v>
      </c>
      <c r="E66" s="103">
        <f t="shared" si="3"/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1:32" ht="16.5" hidden="1" thickBot="1" x14ac:dyDescent="0.3">
      <c r="A67" s="88" t="s">
        <v>62</v>
      </c>
      <c r="B67" s="59" t="s">
        <v>240</v>
      </c>
      <c r="C67" s="104"/>
      <c r="D67" s="103">
        <f t="shared" si="2"/>
        <v>0</v>
      </c>
      <c r="E67" s="103">
        <f t="shared" si="3"/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</row>
    <row r="68" spans="1:32" ht="16.5" hidden="1" thickBot="1" x14ac:dyDescent="0.3">
      <c r="A68" s="88" t="s">
        <v>63</v>
      </c>
      <c r="B68" s="59" t="s">
        <v>241</v>
      </c>
      <c r="C68" s="104"/>
      <c r="D68" s="103">
        <f t="shared" si="2"/>
        <v>0</v>
      </c>
      <c r="E68" s="103">
        <f t="shared" si="3"/>
        <v>0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</row>
    <row r="69" spans="1:32" ht="16.5" hidden="1" thickBot="1" x14ac:dyDescent="0.3">
      <c r="A69" s="88" t="s">
        <v>64</v>
      </c>
      <c r="B69" s="59" t="s">
        <v>242</v>
      </c>
      <c r="C69" s="104"/>
      <c r="D69" s="103">
        <f t="shared" si="2"/>
        <v>0</v>
      </c>
      <c r="E69" s="103">
        <f t="shared" si="3"/>
        <v>0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</row>
    <row r="70" spans="1:32" ht="16.5" hidden="1" thickBot="1" x14ac:dyDescent="0.3">
      <c r="A70" s="88" t="s">
        <v>65</v>
      </c>
      <c r="B70" s="59" t="s">
        <v>243</v>
      </c>
      <c r="C70" s="104"/>
      <c r="D70" s="103">
        <f t="shared" si="2"/>
        <v>0</v>
      </c>
      <c r="E70" s="103">
        <f t="shared" si="3"/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</row>
    <row r="71" spans="1:32" ht="16.5" hidden="1" thickBot="1" x14ac:dyDescent="0.3">
      <c r="A71" s="88" t="s">
        <v>66</v>
      </c>
      <c r="B71" s="59" t="s">
        <v>244</v>
      </c>
      <c r="C71" s="104"/>
      <c r="D71" s="103">
        <f t="shared" si="2"/>
        <v>0</v>
      </c>
      <c r="E71" s="103">
        <f t="shared" si="3"/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</row>
    <row r="72" spans="1:32" ht="16.5" hidden="1" thickBot="1" x14ac:dyDescent="0.3">
      <c r="A72" s="88" t="s">
        <v>67</v>
      </c>
      <c r="B72" s="59" t="s">
        <v>245</v>
      </c>
      <c r="C72" s="104"/>
      <c r="D72" s="103">
        <f t="shared" si="2"/>
        <v>0</v>
      </c>
      <c r="E72" s="103">
        <f t="shared" si="3"/>
        <v>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</row>
    <row r="73" spans="1:32" ht="16.5" hidden="1" thickBot="1" x14ac:dyDescent="0.3">
      <c r="A73" s="88" t="s">
        <v>68</v>
      </c>
      <c r="B73" s="59" t="s">
        <v>246</v>
      </c>
      <c r="C73" s="104"/>
      <c r="D73" s="103">
        <f t="shared" si="2"/>
        <v>0</v>
      </c>
      <c r="E73" s="103">
        <f t="shared" si="3"/>
        <v>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</row>
    <row r="74" spans="1:32" ht="16.5" hidden="1" thickBot="1" x14ac:dyDescent="0.3">
      <c r="A74" s="88" t="s">
        <v>69</v>
      </c>
      <c r="B74" s="59" t="s">
        <v>247</v>
      </c>
      <c r="C74" s="104"/>
      <c r="D74" s="103">
        <f t="shared" si="2"/>
        <v>0</v>
      </c>
      <c r="E74" s="103">
        <f t="shared" si="3"/>
        <v>0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</row>
    <row r="75" spans="1:32" ht="16.5" hidden="1" thickBot="1" x14ac:dyDescent="0.3">
      <c r="A75" s="88" t="s">
        <v>70</v>
      </c>
      <c r="B75" s="59" t="s">
        <v>248</v>
      </c>
      <c r="C75" s="104"/>
      <c r="D75" s="103">
        <f t="shared" si="2"/>
        <v>0</v>
      </c>
      <c r="E75" s="103">
        <f t="shared" si="3"/>
        <v>0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</row>
    <row r="76" spans="1:32" ht="16.5" thickBot="1" x14ac:dyDescent="0.3">
      <c r="A76" s="88" t="s">
        <v>71</v>
      </c>
      <c r="B76" s="59" t="s">
        <v>249</v>
      </c>
      <c r="C76" s="104">
        <v>57476</v>
      </c>
      <c r="D76" s="103">
        <f t="shared" ref="D76:D109" si="4">SUM(F76:AF76)</f>
        <v>57476</v>
      </c>
      <c r="E76" s="103">
        <f>C76-D76</f>
        <v>0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>
        <v>14373</v>
      </c>
      <c r="P76" s="101"/>
      <c r="Q76" s="101">
        <v>12971</v>
      </c>
      <c r="R76" s="101"/>
      <c r="S76" s="101">
        <f>7151+826</f>
        <v>7977</v>
      </c>
      <c r="T76" s="101"/>
      <c r="U76" s="101"/>
      <c r="V76" s="101">
        <v>22155</v>
      </c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</row>
    <row r="77" spans="1:32" ht="16.5" hidden="1" thickBot="1" x14ac:dyDescent="0.3">
      <c r="A77" s="88" t="s">
        <v>72</v>
      </c>
      <c r="B77" s="59" t="s">
        <v>250</v>
      </c>
      <c r="C77" s="106"/>
      <c r="D77" s="103">
        <f t="shared" si="4"/>
        <v>0</v>
      </c>
      <c r="E77" s="103">
        <f>C77-D77</f>
        <v>0</v>
      </c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</row>
    <row r="78" spans="1:32" ht="16.5" hidden="1" thickBot="1" x14ac:dyDescent="0.3">
      <c r="A78" s="88" t="s">
        <v>73</v>
      </c>
      <c r="B78" s="59" t="s">
        <v>251</v>
      </c>
      <c r="C78" s="104"/>
      <c r="D78" s="103">
        <f t="shared" si="4"/>
        <v>0</v>
      </c>
      <c r="E78" s="103">
        <f>C78-D78</f>
        <v>0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</row>
    <row r="79" spans="1:32" ht="16.5" hidden="1" thickBot="1" x14ac:dyDescent="0.3">
      <c r="A79" s="88" t="s">
        <v>74</v>
      </c>
      <c r="B79" s="59" t="s">
        <v>252</v>
      </c>
      <c r="C79" s="104"/>
      <c r="D79" s="103">
        <f t="shared" si="4"/>
        <v>0</v>
      </c>
      <c r="E79" s="103">
        <f t="shared" ref="E79:E84" si="5">C79-D79</f>
        <v>0</v>
      </c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</row>
    <row r="80" spans="1:32" ht="16.5" hidden="1" thickBot="1" x14ac:dyDescent="0.3">
      <c r="A80" s="88" t="s">
        <v>75</v>
      </c>
      <c r="B80" s="59" t="s">
        <v>253</v>
      </c>
      <c r="C80" s="104"/>
      <c r="D80" s="103">
        <f t="shared" si="4"/>
        <v>0</v>
      </c>
      <c r="E80" s="103">
        <f t="shared" si="5"/>
        <v>0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</row>
    <row r="81" spans="1:32" ht="16.5" hidden="1" thickBot="1" x14ac:dyDescent="0.3">
      <c r="A81" s="88" t="s">
        <v>76</v>
      </c>
      <c r="B81" s="59" t="s">
        <v>254</v>
      </c>
      <c r="C81" s="104"/>
      <c r="D81" s="103">
        <f t="shared" si="4"/>
        <v>0</v>
      </c>
      <c r="E81" s="103">
        <f t="shared" si="5"/>
        <v>0</v>
      </c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</row>
    <row r="82" spans="1:32" ht="16.5" hidden="1" thickBot="1" x14ac:dyDescent="0.3">
      <c r="A82" s="88" t="s">
        <v>77</v>
      </c>
      <c r="B82" s="59" t="s">
        <v>255</v>
      </c>
      <c r="C82" s="104"/>
      <c r="D82" s="103">
        <f t="shared" si="4"/>
        <v>0</v>
      </c>
      <c r="E82" s="103">
        <f t="shared" si="5"/>
        <v>0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</row>
    <row r="83" spans="1:32" ht="16.5" hidden="1" thickBot="1" x14ac:dyDescent="0.3">
      <c r="A83" s="88" t="s">
        <v>78</v>
      </c>
      <c r="B83" s="59" t="s">
        <v>256</v>
      </c>
      <c r="C83" s="104"/>
      <c r="D83" s="103">
        <f t="shared" si="4"/>
        <v>0</v>
      </c>
      <c r="E83" s="103">
        <f t="shared" si="5"/>
        <v>0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</row>
    <row r="84" spans="1:32" ht="16.5" hidden="1" thickBot="1" x14ac:dyDescent="0.3">
      <c r="A84" s="88" t="s">
        <v>79</v>
      </c>
      <c r="B84" s="59" t="s">
        <v>257</v>
      </c>
      <c r="C84" s="104"/>
      <c r="D84" s="103">
        <f t="shared" si="4"/>
        <v>0</v>
      </c>
      <c r="E84" s="103">
        <f t="shared" si="5"/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</row>
    <row r="85" spans="1:32" ht="16.5" hidden="1" thickBot="1" x14ac:dyDescent="0.3">
      <c r="A85" s="88" t="s">
        <v>80</v>
      </c>
      <c r="B85" s="59" t="s">
        <v>258</v>
      </c>
      <c r="C85" s="104"/>
      <c r="D85" s="103">
        <f t="shared" si="4"/>
        <v>0</v>
      </c>
      <c r="E85" s="103">
        <f>C85-D85</f>
        <v>0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</row>
    <row r="86" spans="1:32" ht="16.5" hidden="1" thickBot="1" x14ac:dyDescent="0.3">
      <c r="A86" s="88" t="s">
        <v>81</v>
      </c>
      <c r="B86" s="59" t="s">
        <v>259</v>
      </c>
      <c r="C86" s="104"/>
      <c r="D86" s="103">
        <f t="shared" si="4"/>
        <v>0</v>
      </c>
      <c r="E86" s="103">
        <f>C86-D86</f>
        <v>0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</row>
    <row r="87" spans="1:32" s="20" customFormat="1" ht="16.5" thickBot="1" x14ac:dyDescent="0.3">
      <c r="A87" s="88" t="s">
        <v>72</v>
      </c>
      <c r="B87" s="268" t="s">
        <v>250</v>
      </c>
      <c r="C87" s="104">
        <v>24366</v>
      </c>
      <c r="D87" s="103">
        <f t="shared" si="4"/>
        <v>24366</v>
      </c>
      <c r="E87" s="103">
        <f>C87-D87</f>
        <v>0</v>
      </c>
      <c r="F87" s="101"/>
      <c r="G87" s="101"/>
      <c r="H87" s="101"/>
      <c r="I87" s="101">
        <v>16849</v>
      </c>
      <c r="J87" s="101">
        <v>5140</v>
      </c>
      <c r="K87" s="101"/>
      <c r="L87" s="101"/>
      <c r="M87" s="101"/>
      <c r="N87" s="101"/>
      <c r="O87" s="101"/>
      <c r="P87" s="101"/>
      <c r="Q87" s="101"/>
      <c r="R87" s="101">
        <v>2377</v>
      </c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</row>
    <row r="88" spans="1:32" s="20" customFormat="1" ht="16.5" thickBot="1" x14ac:dyDescent="0.3">
      <c r="A88" s="88" t="s">
        <v>76</v>
      </c>
      <c r="B88" s="268" t="s">
        <v>254</v>
      </c>
      <c r="C88" s="104">
        <v>16238</v>
      </c>
      <c r="D88" s="103">
        <f t="shared" ref="D88" si="6">SUM(F88:AF88)</f>
        <v>16238</v>
      </c>
      <c r="E88" s="103">
        <f>C88-D88</f>
        <v>0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>
        <v>16238</v>
      </c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</row>
    <row r="89" spans="1:32" ht="16.5" thickBot="1" x14ac:dyDescent="0.3">
      <c r="A89" s="88" t="s">
        <v>82</v>
      </c>
      <c r="B89" s="59" t="s">
        <v>260</v>
      </c>
      <c r="C89" s="106">
        <v>7632</v>
      </c>
      <c r="D89" s="103">
        <f t="shared" si="4"/>
        <v>7632</v>
      </c>
      <c r="E89" s="103">
        <f t="shared" ref="E89:E152" si="7">C89-D89</f>
        <v>0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>
        <v>1486</v>
      </c>
      <c r="U89" s="101"/>
      <c r="V89" s="101"/>
      <c r="W89" s="101"/>
      <c r="X89" s="101"/>
      <c r="Y89" s="101"/>
      <c r="Z89" s="101">
        <v>5734</v>
      </c>
      <c r="AA89" s="101"/>
      <c r="AB89" s="101"/>
      <c r="AC89" s="101"/>
      <c r="AD89" s="101">
        <v>412</v>
      </c>
      <c r="AE89" s="101"/>
      <c r="AF89" s="101"/>
    </row>
    <row r="90" spans="1:32" ht="16.5" hidden="1" thickBot="1" x14ac:dyDescent="0.3">
      <c r="A90" s="88" t="s">
        <v>83</v>
      </c>
      <c r="B90" s="59" t="s">
        <v>261</v>
      </c>
      <c r="C90" s="104"/>
      <c r="D90" s="103">
        <f t="shared" si="4"/>
        <v>0</v>
      </c>
      <c r="E90" s="103">
        <f t="shared" si="7"/>
        <v>0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</row>
    <row r="91" spans="1:32" ht="16.5" hidden="1" thickBot="1" x14ac:dyDescent="0.3">
      <c r="A91" s="88" t="s">
        <v>84</v>
      </c>
      <c r="B91" s="61" t="s">
        <v>262</v>
      </c>
      <c r="C91" s="104"/>
      <c r="D91" s="103">
        <f t="shared" si="4"/>
        <v>0</v>
      </c>
      <c r="E91" s="103">
        <f t="shared" si="7"/>
        <v>0</v>
      </c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</row>
    <row r="92" spans="1:32" ht="16.5" hidden="1" thickBot="1" x14ac:dyDescent="0.3">
      <c r="A92" s="88" t="s">
        <v>85</v>
      </c>
      <c r="B92" s="59" t="s">
        <v>263</v>
      </c>
      <c r="C92" s="104"/>
      <c r="D92" s="103">
        <f t="shared" si="4"/>
        <v>0</v>
      </c>
      <c r="E92" s="103">
        <f t="shared" si="7"/>
        <v>0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</row>
    <row r="93" spans="1:32" ht="16.5" hidden="1" thickBot="1" x14ac:dyDescent="0.3">
      <c r="A93" s="88" t="s">
        <v>86</v>
      </c>
      <c r="B93" s="59" t="s">
        <v>264</v>
      </c>
      <c r="C93" s="104"/>
      <c r="D93" s="103">
        <f t="shared" si="4"/>
        <v>0</v>
      </c>
      <c r="E93" s="103">
        <f t="shared" si="7"/>
        <v>0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</row>
    <row r="94" spans="1:32" ht="16.5" hidden="1" thickBot="1" x14ac:dyDescent="0.3">
      <c r="A94" s="88" t="s">
        <v>87</v>
      </c>
      <c r="B94" s="59" t="s">
        <v>265</v>
      </c>
      <c r="C94" s="104"/>
      <c r="D94" s="103">
        <f t="shared" si="4"/>
        <v>0</v>
      </c>
      <c r="E94" s="103">
        <f t="shared" si="7"/>
        <v>0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</row>
    <row r="95" spans="1:32" ht="16.5" hidden="1" thickBot="1" x14ac:dyDescent="0.3">
      <c r="A95" s="88" t="s">
        <v>88</v>
      </c>
      <c r="B95" s="59" t="s">
        <v>266</v>
      </c>
      <c r="C95" s="104"/>
      <c r="D95" s="103">
        <f t="shared" si="4"/>
        <v>0</v>
      </c>
      <c r="E95" s="103">
        <f t="shared" si="7"/>
        <v>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</row>
    <row r="96" spans="1:32" ht="16.5" hidden="1" thickBot="1" x14ac:dyDescent="0.3">
      <c r="A96" s="88" t="s">
        <v>89</v>
      </c>
      <c r="B96" s="59" t="s">
        <v>267</v>
      </c>
      <c r="C96" s="104"/>
      <c r="D96" s="103">
        <f t="shared" si="4"/>
        <v>0</v>
      </c>
      <c r="E96" s="103">
        <f t="shared" si="7"/>
        <v>0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</row>
    <row r="97" spans="1:32" ht="16.5" hidden="1" thickBot="1" x14ac:dyDescent="0.3">
      <c r="A97" s="88" t="s">
        <v>90</v>
      </c>
      <c r="B97" s="59" t="s">
        <v>268</v>
      </c>
      <c r="C97" s="104"/>
      <c r="D97" s="103">
        <f t="shared" si="4"/>
        <v>0</v>
      </c>
      <c r="E97" s="103">
        <f t="shared" si="7"/>
        <v>0</v>
      </c>
      <c r="F97" s="102"/>
      <c r="G97" s="102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</row>
    <row r="98" spans="1:32" ht="16.5" hidden="1" thickBot="1" x14ac:dyDescent="0.3">
      <c r="A98" s="88" t="s">
        <v>91</v>
      </c>
      <c r="B98" s="59" t="s">
        <v>269</v>
      </c>
      <c r="C98" s="104"/>
      <c r="D98" s="103">
        <f t="shared" si="4"/>
        <v>0</v>
      </c>
      <c r="E98" s="103">
        <f t="shared" si="7"/>
        <v>0</v>
      </c>
      <c r="F98" s="102"/>
      <c r="G98" s="102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</row>
    <row r="99" spans="1:32" ht="16.5" hidden="1" thickBot="1" x14ac:dyDescent="0.3">
      <c r="A99" s="88" t="s">
        <v>92</v>
      </c>
      <c r="B99" s="59" t="s">
        <v>270</v>
      </c>
      <c r="C99" s="104"/>
      <c r="D99" s="103">
        <f t="shared" si="4"/>
        <v>0</v>
      </c>
      <c r="E99" s="103">
        <f t="shared" si="7"/>
        <v>0</v>
      </c>
      <c r="F99" s="102"/>
      <c r="G99" s="102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</row>
    <row r="100" spans="1:32" ht="16.5" thickBot="1" x14ac:dyDescent="0.3">
      <c r="A100" s="88" t="s">
        <v>93</v>
      </c>
      <c r="B100" s="59" t="s">
        <v>271</v>
      </c>
      <c r="C100" s="104">
        <v>16683</v>
      </c>
      <c r="D100" s="103">
        <f t="shared" si="4"/>
        <v>16683</v>
      </c>
      <c r="E100" s="103">
        <f t="shared" si="7"/>
        <v>0</v>
      </c>
      <c r="F100" s="102"/>
      <c r="G100" s="102"/>
      <c r="H100" s="101"/>
      <c r="I100" s="101"/>
      <c r="J100" s="101"/>
      <c r="K100" s="101">
        <v>4678</v>
      </c>
      <c r="L100" s="101">
        <v>1582</v>
      </c>
      <c r="M100" s="101">
        <v>1587</v>
      </c>
      <c r="N100" s="101">
        <v>1585</v>
      </c>
      <c r="O100" s="101">
        <v>1587</v>
      </c>
      <c r="P100" s="101"/>
      <c r="Q100" s="101">
        <v>5664</v>
      </c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</row>
    <row r="101" spans="1:32" ht="16.5" hidden="1" thickBot="1" x14ac:dyDescent="0.3">
      <c r="A101" s="88" t="s">
        <v>94</v>
      </c>
      <c r="B101" s="59" t="s">
        <v>272</v>
      </c>
      <c r="C101" s="104"/>
      <c r="D101" s="103">
        <f t="shared" si="4"/>
        <v>0</v>
      </c>
      <c r="E101" s="103">
        <f t="shared" si="7"/>
        <v>0</v>
      </c>
      <c r="F101" s="102"/>
      <c r="G101" s="102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</row>
    <row r="102" spans="1:32" ht="16.5" hidden="1" thickBot="1" x14ac:dyDescent="0.3">
      <c r="A102" s="88" t="s">
        <v>95</v>
      </c>
      <c r="B102" s="59" t="s">
        <v>273</v>
      </c>
      <c r="C102" s="104"/>
      <c r="D102" s="103">
        <f t="shared" si="4"/>
        <v>0</v>
      </c>
      <c r="E102" s="103">
        <f t="shared" si="7"/>
        <v>0</v>
      </c>
      <c r="F102" s="102"/>
      <c r="G102" s="102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</row>
    <row r="103" spans="1:32" ht="16.5" hidden="1" thickBot="1" x14ac:dyDescent="0.3">
      <c r="A103" s="88" t="s">
        <v>96</v>
      </c>
      <c r="B103" s="59" t="s">
        <v>274</v>
      </c>
      <c r="C103" s="104"/>
      <c r="D103" s="103">
        <f t="shared" si="4"/>
        <v>0</v>
      </c>
      <c r="E103" s="103">
        <f t="shared" si="7"/>
        <v>0</v>
      </c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</row>
    <row r="104" spans="1:32" ht="16.5" hidden="1" thickBot="1" x14ac:dyDescent="0.3">
      <c r="A104" s="88" t="s">
        <v>97</v>
      </c>
      <c r="B104" s="59" t="s">
        <v>275</v>
      </c>
      <c r="C104" s="104"/>
      <c r="D104" s="103">
        <f t="shared" si="4"/>
        <v>0</v>
      </c>
      <c r="E104" s="103">
        <f t="shared" si="7"/>
        <v>0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</row>
    <row r="105" spans="1:32" ht="16.5" hidden="1" thickBot="1" x14ac:dyDescent="0.3">
      <c r="A105" s="88" t="s">
        <v>98</v>
      </c>
      <c r="B105" s="59" t="s">
        <v>276</v>
      </c>
      <c r="C105" s="104"/>
      <c r="D105" s="103">
        <f t="shared" si="4"/>
        <v>0</v>
      </c>
      <c r="E105" s="103">
        <f t="shared" si="7"/>
        <v>0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</row>
    <row r="106" spans="1:32" ht="16.5" hidden="1" thickBot="1" x14ac:dyDescent="0.3">
      <c r="A106" s="88" t="s">
        <v>99</v>
      </c>
      <c r="B106" s="59" t="s">
        <v>277</v>
      </c>
      <c r="C106" s="104"/>
      <c r="D106" s="103">
        <f t="shared" si="4"/>
        <v>0</v>
      </c>
      <c r="E106" s="103">
        <f t="shared" si="7"/>
        <v>0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</row>
    <row r="107" spans="1:32" ht="16.5" thickBot="1" x14ac:dyDescent="0.3">
      <c r="A107" s="88" t="s">
        <v>100</v>
      </c>
      <c r="B107" s="59" t="s">
        <v>278</v>
      </c>
      <c r="C107" s="104">
        <v>19010</v>
      </c>
      <c r="D107" s="103">
        <f t="shared" si="4"/>
        <v>2817</v>
      </c>
      <c r="E107" s="103">
        <f t="shared" si="7"/>
        <v>16193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>
        <v>2817</v>
      </c>
    </row>
    <row r="108" spans="1:32" ht="16.5" hidden="1" thickBot="1" x14ac:dyDescent="0.3">
      <c r="A108" s="88" t="s">
        <v>101</v>
      </c>
      <c r="B108" s="59" t="s">
        <v>279</v>
      </c>
      <c r="C108" s="104"/>
      <c r="D108" s="103">
        <f t="shared" si="4"/>
        <v>0</v>
      </c>
      <c r="E108" s="103">
        <f t="shared" si="7"/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</row>
    <row r="109" spans="1:32" ht="16.5" hidden="1" thickBot="1" x14ac:dyDescent="0.3">
      <c r="A109" s="88" t="s">
        <v>102</v>
      </c>
      <c r="B109" s="59" t="s">
        <v>280</v>
      </c>
      <c r="C109" s="104"/>
      <c r="D109" s="103">
        <f t="shared" si="4"/>
        <v>0</v>
      </c>
      <c r="E109" s="103">
        <f t="shared" si="7"/>
        <v>0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</row>
    <row r="110" spans="1:32" ht="16.5" hidden="1" thickBot="1" x14ac:dyDescent="0.3">
      <c r="A110" s="88" t="s">
        <v>103</v>
      </c>
      <c r="B110" s="59" t="s">
        <v>281</v>
      </c>
      <c r="C110" s="104"/>
      <c r="D110" s="103">
        <f t="shared" ref="D110:D141" si="8">SUM(F110:AF110)</f>
        <v>0</v>
      </c>
      <c r="E110" s="103">
        <f t="shared" si="7"/>
        <v>0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</row>
    <row r="111" spans="1:32" ht="16.5" hidden="1" thickBot="1" x14ac:dyDescent="0.3">
      <c r="A111" s="88" t="s">
        <v>104</v>
      </c>
      <c r="B111" s="59" t="s">
        <v>282</v>
      </c>
      <c r="C111" s="104"/>
      <c r="D111" s="103">
        <f t="shared" si="8"/>
        <v>0</v>
      </c>
      <c r="E111" s="103">
        <f t="shared" si="7"/>
        <v>0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</row>
    <row r="112" spans="1:32" ht="16.5" hidden="1" thickBot="1" x14ac:dyDescent="0.3">
      <c r="A112" s="88" t="s">
        <v>105</v>
      </c>
      <c r="B112" s="59" t="s">
        <v>283</v>
      </c>
      <c r="C112" s="104"/>
      <c r="D112" s="103">
        <f t="shared" si="8"/>
        <v>0</v>
      </c>
      <c r="E112" s="103">
        <f t="shared" si="7"/>
        <v>0</v>
      </c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</row>
    <row r="113" spans="1:32" ht="16.5" hidden="1" thickBot="1" x14ac:dyDescent="0.3">
      <c r="A113" s="88" t="s">
        <v>106</v>
      </c>
      <c r="B113" s="59" t="s">
        <v>284</v>
      </c>
      <c r="C113" s="104"/>
      <c r="D113" s="103">
        <f t="shared" si="8"/>
        <v>0</v>
      </c>
      <c r="E113" s="103">
        <f t="shared" si="7"/>
        <v>0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</row>
    <row r="114" spans="1:32" ht="16.5" hidden="1" thickBot="1" x14ac:dyDescent="0.3">
      <c r="A114" s="88" t="s">
        <v>107</v>
      </c>
      <c r="B114" s="59" t="s">
        <v>285</v>
      </c>
      <c r="C114" s="104"/>
      <c r="D114" s="103">
        <f t="shared" si="8"/>
        <v>0</v>
      </c>
      <c r="E114" s="103">
        <f t="shared" si="7"/>
        <v>0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</row>
    <row r="115" spans="1:32" ht="16.5" hidden="1" thickBot="1" x14ac:dyDescent="0.3">
      <c r="A115" s="88" t="s">
        <v>108</v>
      </c>
      <c r="B115" s="59" t="s">
        <v>286</v>
      </c>
      <c r="C115" s="104"/>
      <c r="D115" s="103">
        <f t="shared" si="8"/>
        <v>0</v>
      </c>
      <c r="E115" s="103">
        <f t="shared" si="7"/>
        <v>0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</row>
    <row r="116" spans="1:32" ht="16.5" hidden="1" thickBot="1" x14ac:dyDescent="0.3">
      <c r="A116" s="88" t="s">
        <v>109</v>
      </c>
      <c r="B116" s="59" t="s">
        <v>287</v>
      </c>
      <c r="C116" s="104"/>
      <c r="D116" s="103">
        <f t="shared" si="8"/>
        <v>0</v>
      </c>
      <c r="E116" s="103">
        <f t="shared" si="7"/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</row>
    <row r="117" spans="1:32" ht="16.5" hidden="1" thickBot="1" x14ac:dyDescent="0.3">
      <c r="A117" s="88" t="s">
        <v>110</v>
      </c>
      <c r="B117" s="59" t="s">
        <v>288</v>
      </c>
      <c r="C117" s="104"/>
      <c r="D117" s="103">
        <f t="shared" si="8"/>
        <v>0</v>
      </c>
      <c r="E117" s="103">
        <f t="shared" si="7"/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</row>
    <row r="118" spans="1:32" ht="16.5" hidden="1" thickBot="1" x14ac:dyDescent="0.3">
      <c r="A118" s="88" t="s">
        <v>111</v>
      </c>
      <c r="B118" s="59" t="s">
        <v>289</v>
      </c>
      <c r="C118" s="104"/>
      <c r="D118" s="103">
        <f t="shared" si="8"/>
        <v>0</v>
      </c>
      <c r="E118" s="103">
        <f t="shared" si="7"/>
        <v>0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</row>
    <row r="119" spans="1:32" ht="16.5" hidden="1" thickBot="1" x14ac:dyDescent="0.3">
      <c r="A119" s="88" t="s">
        <v>112</v>
      </c>
      <c r="B119" s="59" t="s">
        <v>290</v>
      </c>
      <c r="C119" s="104"/>
      <c r="D119" s="103">
        <f t="shared" si="8"/>
        <v>0</v>
      </c>
      <c r="E119" s="103">
        <f t="shared" si="7"/>
        <v>0</v>
      </c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</row>
    <row r="120" spans="1:32" ht="16.5" hidden="1" thickBot="1" x14ac:dyDescent="0.3">
      <c r="A120" s="88" t="s">
        <v>113</v>
      </c>
      <c r="B120" s="59" t="s">
        <v>291</v>
      </c>
      <c r="C120" s="104"/>
      <c r="D120" s="103">
        <f t="shared" si="8"/>
        <v>0</v>
      </c>
      <c r="E120" s="103">
        <f t="shared" si="7"/>
        <v>0</v>
      </c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</row>
    <row r="121" spans="1:32" ht="16.5" hidden="1" thickBot="1" x14ac:dyDescent="0.3">
      <c r="A121" s="88" t="s">
        <v>114</v>
      </c>
      <c r="B121" s="59" t="s">
        <v>292</v>
      </c>
      <c r="C121" s="104"/>
      <c r="D121" s="103">
        <f t="shared" si="8"/>
        <v>0</v>
      </c>
      <c r="E121" s="103">
        <f t="shared" si="7"/>
        <v>0</v>
      </c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</row>
    <row r="122" spans="1:32" ht="16.5" hidden="1" thickBot="1" x14ac:dyDescent="0.3">
      <c r="A122" s="88" t="s">
        <v>115</v>
      </c>
      <c r="B122" s="59" t="s">
        <v>293</v>
      </c>
      <c r="C122" s="104"/>
      <c r="D122" s="103">
        <f t="shared" si="8"/>
        <v>0</v>
      </c>
      <c r="E122" s="103">
        <f t="shared" si="7"/>
        <v>0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</row>
    <row r="123" spans="1:32" ht="16.5" hidden="1" thickBot="1" x14ac:dyDescent="0.3">
      <c r="A123" s="88" t="s">
        <v>116</v>
      </c>
      <c r="B123" s="59" t="s">
        <v>294</v>
      </c>
      <c r="C123" s="104"/>
      <c r="D123" s="103">
        <f t="shared" si="8"/>
        <v>0</v>
      </c>
      <c r="E123" s="103">
        <f t="shared" si="7"/>
        <v>0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</row>
    <row r="124" spans="1:32" ht="16.5" hidden="1" thickBot="1" x14ac:dyDescent="0.3">
      <c r="A124" s="88" t="s">
        <v>117</v>
      </c>
      <c r="B124" s="59" t="s">
        <v>295</v>
      </c>
      <c r="C124" s="104"/>
      <c r="D124" s="103">
        <f t="shared" si="8"/>
        <v>0</v>
      </c>
      <c r="E124" s="103">
        <f t="shared" si="7"/>
        <v>0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</row>
    <row r="125" spans="1:32" ht="16.5" thickBot="1" x14ac:dyDescent="0.3">
      <c r="A125" s="88" t="s">
        <v>118</v>
      </c>
      <c r="B125" s="59" t="s">
        <v>296</v>
      </c>
      <c r="C125" s="106">
        <v>42316</v>
      </c>
      <c r="D125" s="103">
        <f t="shared" si="8"/>
        <v>42316</v>
      </c>
      <c r="E125" s="103">
        <f t="shared" si="7"/>
        <v>0</v>
      </c>
      <c r="F125" s="101"/>
      <c r="G125" s="101"/>
      <c r="H125" s="101"/>
      <c r="I125" s="101"/>
      <c r="J125" s="101"/>
      <c r="K125" s="101">
        <v>5039</v>
      </c>
      <c r="L125" s="101">
        <v>5791</v>
      </c>
      <c r="M125" s="101">
        <v>3990</v>
      </c>
      <c r="N125" s="101">
        <v>6234</v>
      </c>
      <c r="O125" s="101">
        <v>5247</v>
      </c>
      <c r="P125" s="101">
        <v>3815</v>
      </c>
      <c r="Q125" s="101">
        <v>3941</v>
      </c>
      <c r="R125" s="101">
        <v>2499</v>
      </c>
      <c r="S125" s="101">
        <v>2496</v>
      </c>
      <c r="T125" s="101">
        <v>1001</v>
      </c>
      <c r="U125" s="101"/>
      <c r="V125" s="101">
        <v>2263</v>
      </c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</row>
    <row r="126" spans="1:32" ht="16.5" hidden="1" thickBot="1" x14ac:dyDescent="0.3">
      <c r="A126" s="88" t="s">
        <v>119</v>
      </c>
      <c r="B126" s="59" t="s">
        <v>297</v>
      </c>
      <c r="C126" s="104"/>
      <c r="D126" s="103">
        <f t="shared" si="8"/>
        <v>0</v>
      </c>
      <c r="E126" s="103">
        <f t="shared" si="7"/>
        <v>0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</row>
    <row r="127" spans="1:32" ht="16.5" hidden="1" thickBot="1" x14ac:dyDescent="0.3">
      <c r="A127" s="88" t="s">
        <v>120</v>
      </c>
      <c r="B127" s="59" t="s">
        <v>298</v>
      </c>
      <c r="C127" s="104"/>
      <c r="D127" s="103">
        <f t="shared" si="8"/>
        <v>0</v>
      </c>
      <c r="E127" s="103">
        <f t="shared" si="7"/>
        <v>0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</row>
    <row r="128" spans="1:32" ht="16.5" thickBot="1" x14ac:dyDescent="0.3">
      <c r="A128" s="88" t="s">
        <v>121</v>
      </c>
      <c r="B128" s="59" t="s">
        <v>299</v>
      </c>
      <c r="C128" s="104">
        <v>93546</v>
      </c>
      <c r="D128" s="103">
        <f t="shared" si="8"/>
        <v>93546</v>
      </c>
      <c r="E128" s="103">
        <f t="shared" si="7"/>
        <v>0</v>
      </c>
      <c r="F128" s="101"/>
      <c r="G128" s="101"/>
      <c r="H128" s="101"/>
      <c r="I128" s="101"/>
      <c r="J128" s="101"/>
      <c r="K128" s="101"/>
      <c r="L128" s="101"/>
      <c r="M128" s="101"/>
      <c r="N128" s="101">
        <v>24444</v>
      </c>
      <c r="O128" s="101">
        <v>9581</v>
      </c>
      <c r="P128" s="101">
        <v>10429</v>
      </c>
      <c r="Q128" s="101">
        <f>9571+9410</f>
        <v>18981</v>
      </c>
      <c r="R128" s="101"/>
      <c r="S128" s="101">
        <v>9396</v>
      </c>
      <c r="T128" s="101">
        <v>9397</v>
      </c>
      <c r="U128" s="101">
        <v>7963</v>
      </c>
      <c r="V128" s="101">
        <v>3355</v>
      </c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</row>
    <row r="129" spans="1:32" ht="16.5" hidden="1" thickBot="1" x14ac:dyDescent="0.3">
      <c r="A129" s="88" t="s">
        <v>122</v>
      </c>
      <c r="B129" s="59" t="s">
        <v>300</v>
      </c>
      <c r="C129" s="104"/>
      <c r="D129" s="103">
        <f t="shared" si="8"/>
        <v>0</v>
      </c>
      <c r="E129" s="103">
        <f t="shared" si="7"/>
        <v>0</v>
      </c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</row>
    <row r="130" spans="1:32" ht="16.5" hidden="1" thickBot="1" x14ac:dyDescent="0.3">
      <c r="A130" s="88" t="s">
        <v>123</v>
      </c>
      <c r="B130" s="59" t="s">
        <v>301</v>
      </c>
      <c r="C130" s="104"/>
      <c r="D130" s="103">
        <f t="shared" si="8"/>
        <v>0</v>
      </c>
      <c r="E130" s="103">
        <f t="shared" si="7"/>
        <v>0</v>
      </c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</row>
    <row r="131" spans="1:32" ht="16.5" thickBot="1" x14ac:dyDescent="0.3">
      <c r="A131" s="88" t="s">
        <v>124</v>
      </c>
      <c r="B131" s="59" t="s">
        <v>302</v>
      </c>
      <c r="C131" s="104">
        <v>47278</v>
      </c>
      <c r="D131" s="103">
        <f t="shared" si="8"/>
        <v>47278</v>
      </c>
      <c r="E131" s="103">
        <f t="shared" si="7"/>
        <v>0</v>
      </c>
      <c r="F131" s="101"/>
      <c r="G131" s="101"/>
      <c r="H131" s="101"/>
      <c r="I131" s="101"/>
      <c r="J131" s="101"/>
      <c r="K131" s="101"/>
      <c r="L131" s="101"/>
      <c r="M131" s="101"/>
      <c r="N131" s="101">
        <v>2178</v>
      </c>
      <c r="O131" s="101">
        <v>4355</v>
      </c>
      <c r="P131" s="101">
        <v>4495</v>
      </c>
      <c r="Q131" s="101">
        <v>5192</v>
      </c>
      <c r="R131" s="101">
        <v>3537</v>
      </c>
      <c r="S131" s="101">
        <v>1250</v>
      </c>
      <c r="T131" s="101">
        <v>2431</v>
      </c>
      <c r="U131" s="101">
        <v>1444</v>
      </c>
      <c r="V131" s="101">
        <v>6048</v>
      </c>
      <c r="W131" s="101">
        <v>5754</v>
      </c>
      <c r="X131" s="101"/>
      <c r="Y131" s="101">
        <v>4140</v>
      </c>
      <c r="Z131" s="101">
        <v>5986</v>
      </c>
      <c r="AA131" s="101">
        <v>468</v>
      </c>
      <c r="AB131" s="101"/>
      <c r="AC131" s="101"/>
      <c r="AD131" s="101"/>
      <c r="AE131" s="101"/>
      <c r="AF131" s="101"/>
    </row>
    <row r="132" spans="1:32" ht="16.5" hidden="1" thickBot="1" x14ac:dyDescent="0.3">
      <c r="A132" s="88" t="s">
        <v>125</v>
      </c>
      <c r="B132" s="59" t="s">
        <v>303</v>
      </c>
      <c r="C132" s="104"/>
      <c r="D132" s="103">
        <f t="shared" si="8"/>
        <v>0</v>
      </c>
      <c r="E132" s="103">
        <f t="shared" si="7"/>
        <v>0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</row>
    <row r="133" spans="1:32" ht="16.5" hidden="1" thickBot="1" x14ac:dyDescent="0.3">
      <c r="A133" s="88" t="s">
        <v>126</v>
      </c>
      <c r="B133" s="59" t="s">
        <v>304</v>
      </c>
      <c r="C133" s="104"/>
      <c r="D133" s="103">
        <f t="shared" si="8"/>
        <v>0</v>
      </c>
      <c r="E133" s="103">
        <f t="shared" si="7"/>
        <v>0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</row>
    <row r="134" spans="1:32" ht="16.5" thickBot="1" x14ac:dyDescent="0.3">
      <c r="A134" s="88" t="s">
        <v>127</v>
      </c>
      <c r="B134" s="59" t="s">
        <v>305</v>
      </c>
      <c r="C134" s="106">
        <v>20739</v>
      </c>
      <c r="D134" s="103">
        <f t="shared" si="8"/>
        <v>20739</v>
      </c>
      <c r="E134" s="103">
        <f t="shared" si="7"/>
        <v>0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>
        <v>2123</v>
      </c>
      <c r="S134" s="101"/>
      <c r="T134" s="101"/>
      <c r="U134" s="101"/>
      <c r="V134" s="101">
        <v>202</v>
      </c>
      <c r="W134" s="101"/>
      <c r="X134" s="101">
        <v>13977</v>
      </c>
      <c r="Y134" s="101"/>
      <c r="Z134" s="101">
        <v>4290</v>
      </c>
      <c r="AA134" s="101"/>
      <c r="AB134" s="101"/>
      <c r="AC134" s="101">
        <v>147</v>
      </c>
      <c r="AD134" s="101"/>
      <c r="AE134" s="101"/>
      <c r="AF134" s="101"/>
    </row>
    <row r="135" spans="1:32" ht="16.5" thickBot="1" x14ac:dyDescent="0.3">
      <c r="A135" s="88" t="s">
        <v>128</v>
      </c>
      <c r="B135" s="59" t="s">
        <v>306</v>
      </c>
      <c r="C135" s="106">
        <v>12662</v>
      </c>
      <c r="D135" s="103">
        <f t="shared" si="8"/>
        <v>12662</v>
      </c>
      <c r="E135" s="103">
        <f t="shared" si="7"/>
        <v>0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>
        <v>2561</v>
      </c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>
        <v>10101</v>
      </c>
      <c r="AB135" s="101"/>
      <c r="AC135" s="101"/>
      <c r="AD135" s="101"/>
      <c r="AE135" s="101"/>
      <c r="AF135" s="101"/>
    </row>
    <row r="136" spans="1:32" ht="16.5" hidden="1" thickBot="1" x14ac:dyDescent="0.3">
      <c r="A136" s="88" t="s">
        <v>129</v>
      </c>
      <c r="B136" s="59" t="s">
        <v>307</v>
      </c>
      <c r="C136" s="104"/>
      <c r="D136" s="103">
        <f t="shared" si="8"/>
        <v>0</v>
      </c>
      <c r="E136" s="103">
        <f t="shared" si="7"/>
        <v>0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</row>
    <row r="137" spans="1:32" ht="16.5" hidden="1" thickBot="1" x14ac:dyDescent="0.3">
      <c r="A137" s="88" t="s">
        <v>130</v>
      </c>
      <c r="B137" s="59" t="s">
        <v>308</v>
      </c>
      <c r="C137" s="104"/>
      <c r="D137" s="103">
        <f t="shared" si="8"/>
        <v>0</v>
      </c>
      <c r="E137" s="103">
        <f t="shared" si="7"/>
        <v>0</v>
      </c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</row>
    <row r="138" spans="1:32" ht="16.5" hidden="1" thickBot="1" x14ac:dyDescent="0.3">
      <c r="A138" s="88" t="s">
        <v>131</v>
      </c>
      <c r="B138" s="59" t="s">
        <v>309</v>
      </c>
      <c r="C138" s="104"/>
      <c r="D138" s="103">
        <f t="shared" si="8"/>
        <v>0</v>
      </c>
      <c r="E138" s="103">
        <f t="shared" si="7"/>
        <v>0</v>
      </c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</row>
    <row r="139" spans="1:32" ht="16.5" hidden="1" thickBot="1" x14ac:dyDescent="0.3">
      <c r="A139" s="88" t="s">
        <v>132</v>
      </c>
      <c r="B139" s="59" t="s">
        <v>310</v>
      </c>
      <c r="C139" s="104"/>
      <c r="D139" s="103">
        <f t="shared" si="8"/>
        <v>0</v>
      </c>
      <c r="E139" s="103">
        <f t="shared" si="7"/>
        <v>0</v>
      </c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</row>
    <row r="140" spans="1:32" ht="16.5" hidden="1" thickBot="1" x14ac:dyDescent="0.3">
      <c r="A140" s="88" t="s">
        <v>133</v>
      </c>
      <c r="B140" s="59" t="s">
        <v>311</v>
      </c>
      <c r="C140" s="104"/>
      <c r="D140" s="103">
        <f t="shared" si="8"/>
        <v>0</v>
      </c>
      <c r="E140" s="103">
        <f t="shared" si="7"/>
        <v>0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</row>
    <row r="141" spans="1:32" ht="16.5" hidden="1" thickBot="1" x14ac:dyDescent="0.3">
      <c r="A141" s="88" t="s">
        <v>134</v>
      </c>
      <c r="B141" s="59" t="s">
        <v>312</v>
      </c>
      <c r="C141" s="104"/>
      <c r="D141" s="103">
        <f t="shared" si="8"/>
        <v>0</v>
      </c>
      <c r="E141" s="103">
        <f t="shared" si="7"/>
        <v>0</v>
      </c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</row>
    <row r="142" spans="1:32" ht="16.5" hidden="1" thickBot="1" x14ac:dyDescent="0.3">
      <c r="A142" s="88" t="s">
        <v>135</v>
      </c>
      <c r="B142" s="59" t="s">
        <v>313</v>
      </c>
      <c r="C142" s="104"/>
      <c r="D142" s="103">
        <f t="shared" ref="D142:D156" si="9">SUM(F142:AF142)</f>
        <v>0</v>
      </c>
      <c r="E142" s="103">
        <f t="shared" si="7"/>
        <v>0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</row>
    <row r="143" spans="1:32" ht="16.5" hidden="1" thickBot="1" x14ac:dyDescent="0.3">
      <c r="A143" s="88" t="s">
        <v>136</v>
      </c>
      <c r="B143" s="59" t="s">
        <v>314</v>
      </c>
      <c r="C143" s="104"/>
      <c r="D143" s="103">
        <f t="shared" si="9"/>
        <v>0</v>
      </c>
      <c r="E143" s="103">
        <f t="shared" si="7"/>
        <v>0</v>
      </c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</row>
    <row r="144" spans="1:32" ht="16.5" hidden="1" thickBot="1" x14ac:dyDescent="0.3">
      <c r="A144" s="88" t="s">
        <v>137</v>
      </c>
      <c r="B144" s="59" t="s">
        <v>315</v>
      </c>
      <c r="C144" s="104"/>
      <c r="D144" s="103">
        <f t="shared" si="9"/>
        <v>0</v>
      </c>
      <c r="E144" s="103">
        <f t="shared" si="7"/>
        <v>0</v>
      </c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</row>
    <row r="145" spans="1:32" ht="16.5" hidden="1" thickBot="1" x14ac:dyDescent="0.3">
      <c r="A145" s="88" t="s">
        <v>138</v>
      </c>
      <c r="B145" s="59" t="s">
        <v>316</v>
      </c>
      <c r="C145" s="104"/>
      <c r="D145" s="103">
        <f t="shared" si="9"/>
        <v>0</v>
      </c>
      <c r="E145" s="103">
        <f t="shared" si="7"/>
        <v>0</v>
      </c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</row>
    <row r="146" spans="1:32" ht="16.5" hidden="1" thickBot="1" x14ac:dyDescent="0.3">
      <c r="A146" s="88" t="s">
        <v>139</v>
      </c>
      <c r="B146" s="59" t="s">
        <v>317</v>
      </c>
      <c r="C146" s="104"/>
      <c r="D146" s="103">
        <f t="shared" si="9"/>
        <v>0</v>
      </c>
      <c r="E146" s="103">
        <f t="shared" si="7"/>
        <v>0</v>
      </c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</row>
    <row r="147" spans="1:32" ht="16.5" hidden="1" thickBot="1" x14ac:dyDescent="0.3">
      <c r="A147" s="88" t="s">
        <v>140</v>
      </c>
      <c r="B147" s="59" t="s">
        <v>318</v>
      </c>
      <c r="C147" s="104"/>
      <c r="D147" s="103">
        <f t="shared" si="9"/>
        <v>0</v>
      </c>
      <c r="E147" s="103">
        <f t="shared" si="7"/>
        <v>0</v>
      </c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</row>
    <row r="148" spans="1:32" ht="16.5" thickBot="1" x14ac:dyDescent="0.3">
      <c r="A148" s="88" t="s">
        <v>141</v>
      </c>
      <c r="B148" s="59" t="s">
        <v>319</v>
      </c>
      <c r="C148" s="106">
        <v>24571</v>
      </c>
      <c r="D148" s="103">
        <f t="shared" si="9"/>
        <v>13266</v>
      </c>
      <c r="E148" s="103">
        <f t="shared" si="7"/>
        <v>11305</v>
      </c>
      <c r="F148" s="101"/>
      <c r="G148" s="101"/>
      <c r="H148" s="101"/>
      <c r="I148" s="101">
        <v>12246</v>
      </c>
      <c r="J148" s="101"/>
      <c r="K148" s="101"/>
      <c r="L148" s="101">
        <v>1020</v>
      </c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</row>
    <row r="149" spans="1:32" ht="16.5" hidden="1" thickBot="1" x14ac:dyDescent="0.3">
      <c r="A149" s="88" t="s">
        <v>142</v>
      </c>
      <c r="B149" s="59" t="s">
        <v>320</v>
      </c>
      <c r="C149" s="104"/>
      <c r="D149" s="103">
        <f t="shared" si="9"/>
        <v>0</v>
      </c>
      <c r="E149" s="103">
        <f t="shared" si="7"/>
        <v>0</v>
      </c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</row>
    <row r="150" spans="1:32" ht="16.5" hidden="1" thickBot="1" x14ac:dyDescent="0.3">
      <c r="A150" s="88" t="s">
        <v>143</v>
      </c>
      <c r="B150" s="59" t="s">
        <v>321</v>
      </c>
      <c r="C150" s="104"/>
      <c r="D150" s="103">
        <f t="shared" si="9"/>
        <v>0</v>
      </c>
      <c r="E150" s="103">
        <f t="shared" si="7"/>
        <v>0</v>
      </c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</row>
    <row r="151" spans="1:32" ht="16.5" hidden="1" thickBot="1" x14ac:dyDescent="0.3">
      <c r="A151" s="88" t="s">
        <v>144</v>
      </c>
      <c r="B151" s="59" t="s">
        <v>322</v>
      </c>
      <c r="C151" s="104"/>
      <c r="D151" s="103">
        <f t="shared" si="9"/>
        <v>0</v>
      </c>
      <c r="E151" s="103">
        <f t="shared" si="7"/>
        <v>0</v>
      </c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</row>
    <row r="152" spans="1:32" ht="16.5" hidden="1" thickBot="1" x14ac:dyDescent="0.3">
      <c r="A152" s="88" t="s">
        <v>145</v>
      </c>
      <c r="B152" s="59" t="s">
        <v>323</v>
      </c>
      <c r="C152" s="104"/>
      <c r="D152" s="103">
        <f t="shared" si="9"/>
        <v>0</v>
      </c>
      <c r="E152" s="103">
        <f t="shared" si="7"/>
        <v>0</v>
      </c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</row>
    <row r="153" spans="1:32" ht="16.5" hidden="1" thickBot="1" x14ac:dyDescent="0.3">
      <c r="A153" s="88" t="s">
        <v>146</v>
      </c>
      <c r="B153" s="59" t="s">
        <v>324</v>
      </c>
      <c r="C153" s="104"/>
      <c r="D153" s="103">
        <f t="shared" si="9"/>
        <v>0</v>
      </c>
      <c r="E153" s="103">
        <f>C153-D153</f>
        <v>0</v>
      </c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</row>
    <row r="154" spans="1:32" ht="16.5" hidden="1" thickBot="1" x14ac:dyDescent="0.3">
      <c r="A154" s="88" t="s">
        <v>147</v>
      </c>
      <c r="B154" s="59" t="s">
        <v>325</v>
      </c>
      <c r="C154" s="104"/>
      <c r="D154" s="103">
        <f t="shared" si="9"/>
        <v>0</v>
      </c>
      <c r="E154" s="103">
        <f>C154-D154</f>
        <v>0</v>
      </c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</row>
    <row r="155" spans="1:32" ht="16.5" hidden="1" thickBot="1" x14ac:dyDescent="0.3">
      <c r="A155" s="88" t="s">
        <v>148</v>
      </c>
      <c r="B155" s="59" t="s">
        <v>326</v>
      </c>
      <c r="C155" s="104"/>
      <c r="D155" s="103">
        <f t="shared" si="9"/>
        <v>0</v>
      </c>
      <c r="E155" s="103">
        <f>C155-D155</f>
        <v>0</v>
      </c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</row>
    <row r="156" spans="1:32" ht="16.5" thickBot="1" x14ac:dyDescent="0.3">
      <c r="A156" s="88" t="s">
        <v>149</v>
      </c>
      <c r="B156" s="59" t="s">
        <v>327</v>
      </c>
      <c r="C156" s="106">
        <v>17402</v>
      </c>
      <c r="D156" s="103">
        <f t="shared" si="9"/>
        <v>14577</v>
      </c>
      <c r="E156" s="103">
        <f>C156-D156</f>
        <v>2825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>
        <v>789</v>
      </c>
      <c r="U156" s="101"/>
      <c r="V156" s="101">
        <v>198</v>
      </c>
      <c r="W156" s="101">
        <v>1230</v>
      </c>
      <c r="X156" s="101">
        <v>4266</v>
      </c>
      <c r="Y156" s="101">
        <v>919</v>
      </c>
      <c r="Z156" s="101">
        <v>410</v>
      </c>
      <c r="AA156" s="101">
        <v>1440</v>
      </c>
      <c r="AB156" s="101">
        <v>818</v>
      </c>
      <c r="AC156" s="101">
        <v>4208</v>
      </c>
      <c r="AD156" s="101">
        <v>99</v>
      </c>
      <c r="AE156" s="101"/>
      <c r="AF156" s="101">
        <v>200</v>
      </c>
    </row>
    <row r="157" spans="1:32" ht="16.5" hidden="1" thickBot="1" x14ac:dyDescent="0.3">
      <c r="A157" s="88" t="s">
        <v>150</v>
      </c>
      <c r="B157" s="59" t="s">
        <v>328</v>
      </c>
      <c r="C157" s="106"/>
      <c r="D157" s="103">
        <f t="shared" ref="D157:D195" si="10">SUM(F157:AF157)</f>
        <v>0</v>
      </c>
      <c r="E157" s="103">
        <f t="shared" ref="E157:E194" si="11">C157-D157</f>
        <v>0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6.5" hidden="1" thickBot="1" x14ac:dyDescent="0.3">
      <c r="A158" s="88" t="s">
        <v>151</v>
      </c>
      <c r="B158" s="59" t="s">
        <v>329</v>
      </c>
      <c r="C158" s="106"/>
      <c r="D158" s="103">
        <f t="shared" si="10"/>
        <v>0</v>
      </c>
      <c r="E158" s="103">
        <f t="shared" si="11"/>
        <v>0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6.5" hidden="1" thickBot="1" x14ac:dyDescent="0.3">
      <c r="A159" s="88" t="s">
        <v>152</v>
      </c>
      <c r="B159" s="59" t="s">
        <v>330</v>
      </c>
      <c r="C159" s="106"/>
      <c r="D159" s="103">
        <f t="shared" si="10"/>
        <v>0</v>
      </c>
      <c r="E159" s="103">
        <f t="shared" si="11"/>
        <v>0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6.5" hidden="1" thickBot="1" x14ac:dyDescent="0.3">
      <c r="A160" s="88" t="s">
        <v>153</v>
      </c>
      <c r="B160" s="59" t="s">
        <v>331</v>
      </c>
      <c r="C160" s="106"/>
      <c r="D160" s="103">
        <f t="shared" si="10"/>
        <v>0</v>
      </c>
      <c r="E160" s="103">
        <f t="shared" si="11"/>
        <v>0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6.5" hidden="1" thickBot="1" x14ac:dyDescent="0.3">
      <c r="A161" s="88" t="s">
        <v>154</v>
      </c>
      <c r="B161" s="59" t="s">
        <v>332</v>
      </c>
      <c r="C161" s="106"/>
      <c r="D161" s="103">
        <f t="shared" si="10"/>
        <v>0</v>
      </c>
      <c r="E161" s="103">
        <f t="shared" si="11"/>
        <v>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6.5" hidden="1" thickBot="1" x14ac:dyDescent="0.3">
      <c r="A162" s="88" t="s">
        <v>155</v>
      </c>
      <c r="B162" s="59" t="s">
        <v>333</v>
      </c>
      <c r="C162" s="106"/>
      <c r="D162" s="103">
        <f t="shared" si="10"/>
        <v>0</v>
      </c>
      <c r="E162" s="103">
        <f t="shared" si="11"/>
        <v>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6.5" hidden="1" thickBot="1" x14ac:dyDescent="0.3">
      <c r="A163" s="88" t="s">
        <v>156</v>
      </c>
      <c r="B163" s="59" t="s">
        <v>334</v>
      </c>
      <c r="C163" s="106"/>
      <c r="D163" s="103">
        <f t="shared" si="10"/>
        <v>0</v>
      </c>
      <c r="E163" s="103">
        <f t="shared" si="11"/>
        <v>0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6.5" hidden="1" thickBot="1" x14ac:dyDescent="0.3">
      <c r="A164" s="88" t="s">
        <v>157</v>
      </c>
      <c r="B164" s="59" t="s">
        <v>335</v>
      </c>
      <c r="C164" s="106"/>
      <c r="D164" s="103">
        <f t="shared" si="10"/>
        <v>0</v>
      </c>
      <c r="E164" s="103">
        <f t="shared" si="11"/>
        <v>0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6.5" hidden="1" thickBot="1" x14ac:dyDescent="0.3">
      <c r="A165" s="88" t="s">
        <v>158</v>
      </c>
      <c r="B165" s="59" t="s">
        <v>336</v>
      </c>
      <c r="C165" s="106"/>
      <c r="D165" s="103">
        <f t="shared" si="10"/>
        <v>0</v>
      </c>
      <c r="E165" s="103">
        <f t="shared" si="11"/>
        <v>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6.5" hidden="1" thickBot="1" x14ac:dyDescent="0.3">
      <c r="A166" s="88" t="s">
        <v>159</v>
      </c>
      <c r="B166" s="59" t="s">
        <v>337</v>
      </c>
      <c r="C166" s="106"/>
      <c r="D166" s="103">
        <f t="shared" si="10"/>
        <v>0</v>
      </c>
      <c r="E166" s="103">
        <f t="shared" si="11"/>
        <v>0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6.5" hidden="1" thickBot="1" x14ac:dyDescent="0.3">
      <c r="A167" s="88" t="s">
        <v>160</v>
      </c>
      <c r="B167" s="59" t="s">
        <v>338</v>
      </c>
      <c r="C167" s="106"/>
      <c r="D167" s="103">
        <f t="shared" si="10"/>
        <v>0</v>
      </c>
      <c r="E167" s="103">
        <f t="shared" si="11"/>
        <v>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6.5" hidden="1" thickBot="1" x14ac:dyDescent="0.3">
      <c r="A168" s="88" t="s">
        <v>161</v>
      </c>
      <c r="B168" s="59" t="s">
        <v>339</v>
      </c>
      <c r="C168" s="106"/>
      <c r="D168" s="103">
        <f t="shared" si="10"/>
        <v>0</v>
      </c>
      <c r="E168" s="103">
        <f t="shared" si="11"/>
        <v>0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6.5" hidden="1" thickBot="1" x14ac:dyDescent="0.3">
      <c r="A169" s="88" t="s">
        <v>162</v>
      </c>
      <c r="B169" s="59" t="s">
        <v>340</v>
      </c>
      <c r="C169" s="106"/>
      <c r="D169" s="103">
        <f t="shared" si="10"/>
        <v>0</v>
      </c>
      <c r="E169" s="103">
        <f t="shared" si="11"/>
        <v>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6.5" hidden="1" thickBot="1" x14ac:dyDescent="0.3">
      <c r="A170" s="88" t="s">
        <v>163</v>
      </c>
      <c r="B170" s="59" t="s">
        <v>341</v>
      </c>
      <c r="C170" s="106"/>
      <c r="D170" s="103">
        <f t="shared" si="10"/>
        <v>0</v>
      </c>
      <c r="E170" s="103">
        <f t="shared" si="11"/>
        <v>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6.5" hidden="1" thickBot="1" x14ac:dyDescent="0.3">
      <c r="A171" s="88" t="s">
        <v>164</v>
      </c>
      <c r="B171" s="59" t="s">
        <v>342</v>
      </c>
      <c r="C171" s="106"/>
      <c r="D171" s="103">
        <f t="shared" si="10"/>
        <v>0</v>
      </c>
      <c r="E171" s="103">
        <f t="shared" si="11"/>
        <v>0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6.5" hidden="1" thickBot="1" x14ac:dyDescent="0.3">
      <c r="A172" s="88" t="s">
        <v>165</v>
      </c>
      <c r="B172" s="59" t="s">
        <v>343</v>
      </c>
      <c r="C172" s="106"/>
      <c r="D172" s="103">
        <f t="shared" si="10"/>
        <v>0</v>
      </c>
      <c r="E172" s="103">
        <f t="shared" si="11"/>
        <v>0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6.5" hidden="1" thickBot="1" x14ac:dyDescent="0.3">
      <c r="A173" s="88" t="s">
        <v>166</v>
      </c>
      <c r="B173" s="59" t="s">
        <v>344</v>
      </c>
      <c r="C173" s="106"/>
      <c r="D173" s="103">
        <f t="shared" si="10"/>
        <v>0</v>
      </c>
      <c r="E173" s="103">
        <f t="shared" si="11"/>
        <v>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6.5" hidden="1" thickBot="1" x14ac:dyDescent="0.3">
      <c r="A174" s="88" t="s">
        <v>167</v>
      </c>
      <c r="B174" s="59" t="s">
        <v>345</v>
      </c>
      <c r="C174" s="106"/>
      <c r="D174" s="103">
        <f t="shared" si="10"/>
        <v>0</v>
      </c>
      <c r="E174" s="103">
        <f t="shared" si="11"/>
        <v>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6.5" hidden="1" thickBot="1" x14ac:dyDescent="0.3">
      <c r="A175" s="88" t="s">
        <v>168</v>
      </c>
      <c r="B175" s="59" t="s">
        <v>346</v>
      </c>
      <c r="C175" s="106"/>
      <c r="D175" s="103">
        <f t="shared" si="10"/>
        <v>0</v>
      </c>
      <c r="E175" s="103">
        <f t="shared" si="11"/>
        <v>0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6.5" hidden="1" thickBot="1" x14ac:dyDescent="0.3">
      <c r="A176" s="88" t="s">
        <v>169</v>
      </c>
      <c r="B176" s="59" t="s">
        <v>347</v>
      </c>
      <c r="C176" s="106"/>
      <c r="D176" s="103">
        <f t="shared" si="10"/>
        <v>0</v>
      </c>
      <c r="E176" s="103">
        <f t="shared" si="11"/>
        <v>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6.5" hidden="1" thickBot="1" x14ac:dyDescent="0.3">
      <c r="A177" s="88" t="s">
        <v>170</v>
      </c>
      <c r="B177" s="59" t="s">
        <v>348</v>
      </c>
      <c r="C177" s="106"/>
      <c r="D177" s="103">
        <f t="shared" si="10"/>
        <v>0</v>
      </c>
      <c r="E177" s="103">
        <f t="shared" si="11"/>
        <v>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6.5" hidden="1" thickBot="1" x14ac:dyDescent="0.3">
      <c r="A178" s="88" t="s">
        <v>171</v>
      </c>
      <c r="B178" s="59" t="s">
        <v>349</v>
      </c>
      <c r="C178" s="106"/>
      <c r="D178" s="103">
        <f t="shared" si="10"/>
        <v>0</v>
      </c>
      <c r="E178" s="103">
        <f t="shared" si="11"/>
        <v>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6.5" hidden="1" thickBot="1" x14ac:dyDescent="0.3">
      <c r="A179" s="88" t="s">
        <v>172</v>
      </c>
      <c r="B179" s="59" t="s">
        <v>350</v>
      </c>
      <c r="C179" s="106"/>
      <c r="D179" s="103">
        <f t="shared" si="10"/>
        <v>0</v>
      </c>
      <c r="E179" s="103">
        <f t="shared" si="11"/>
        <v>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6.5" hidden="1" thickBot="1" x14ac:dyDescent="0.3">
      <c r="A180" s="88" t="s">
        <v>173</v>
      </c>
      <c r="B180" s="59" t="s">
        <v>351</v>
      </c>
      <c r="C180" s="106"/>
      <c r="D180" s="103">
        <f t="shared" si="10"/>
        <v>0</v>
      </c>
      <c r="E180" s="103">
        <f t="shared" si="11"/>
        <v>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6.5" hidden="1" thickBot="1" x14ac:dyDescent="0.3">
      <c r="A181" s="88" t="s">
        <v>174</v>
      </c>
      <c r="B181" s="59" t="s">
        <v>352</v>
      </c>
      <c r="C181" s="106"/>
      <c r="D181" s="103">
        <f t="shared" si="10"/>
        <v>0</v>
      </c>
      <c r="E181" s="103">
        <f t="shared" si="11"/>
        <v>0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6.5" hidden="1" thickBot="1" x14ac:dyDescent="0.3">
      <c r="A182" s="88" t="s">
        <v>175</v>
      </c>
      <c r="B182" s="59" t="s">
        <v>353</v>
      </c>
      <c r="C182" s="106"/>
      <c r="D182" s="103">
        <f t="shared" si="10"/>
        <v>0</v>
      </c>
      <c r="E182" s="103">
        <f t="shared" si="11"/>
        <v>0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6.5" hidden="1" thickBot="1" x14ac:dyDescent="0.3">
      <c r="A183" s="88" t="s">
        <v>176</v>
      </c>
      <c r="B183" s="59" t="s">
        <v>354</v>
      </c>
      <c r="C183" s="106"/>
      <c r="D183" s="103">
        <f t="shared" si="10"/>
        <v>0</v>
      </c>
      <c r="E183" s="103">
        <f t="shared" si="11"/>
        <v>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6.5" hidden="1" thickBot="1" x14ac:dyDescent="0.3">
      <c r="A184" s="88" t="s">
        <v>177</v>
      </c>
      <c r="B184" s="59" t="s">
        <v>355</v>
      </c>
      <c r="C184" s="106"/>
      <c r="D184" s="103">
        <f t="shared" si="10"/>
        <v>0</v>
      </c>
      <c r="E184" s="103">
        <f t="shared" si="11"/>
        <v>0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6.5" hidden="1" thickBot="1" x14ac:dyDescent="0.3">
      <c r="A185" s="88" t="s">
        <v>178</v>
      </c>
      <c r="B185" s="59" t="s">
        <v>356</v>
      </c>
      <c r="C185" s="106"/>
      <c r="D185" s="103">
        <f t="shared" si="10"/>
        <v>0</v>
      </c>
      <c r="E185" s="103">
        <f t="shared" si="11"/>
        <v>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6.5" hidden="1" thickBot="1" x14ac:dyDescent="0.3">
      <c r="A186" s="88" t="s">
        <v>179</v>
      </c>
      <c r="B186" s="59" t="s">
        <v>357</v>
      </c>
      <c r="C186" s="106"/>
      <c r="D186" s="103">
        <f t="shared" si="10"/>
        <v>0</v>
      </c>
      <c r="E186" s="103">
        <f t="shared" si="11"/>
        <v>0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6.5" hidden="1" thickBot="1" x14ac:dyDescent="0.3">
      <c r="A187" s="88" t="s">
        <v>180</v>
      </c>
      <c r="B187" s="59" t="s">
        <v>358</v>
      </c>
      <c r="C187" s="106"/>
      <c r="D187" s="103">
        <f t="shared" si="10"/>
        <v>0</v>
      </c>
      <c r="E187" s="103">
        <f t="shared" si="11"/>
        <v>0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6.5" hidden="1" thickBot="1" x14ac:dyDescent="0.3">
      <c r="A188" s="88" t="s">
        <v>181</v>
      </c>
      <c r="B188" s="59" t="s">
        <v>359</v>
      </c>
      <c r="C188" s="106"/>
      <c r="D188" s="103">
        <f t="shared" si="10"/>
        <v>0</v>
      </c>
      <c r="E188" s="103">
        <f t="shared" si="11"/>
        <v>0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6.5" hidden="1" thickBot="1" x14ac:dyDescent="0.3">
      <c r="A189" s="88" t="s">
        <v>182</v>
      </c>
      <c r="B189" s="59" t="s">
        <v>360</v>
      </c>
      <c r="C189" s="106"/>
      <c r="D189" s="103">
        <f t="shared" si="10"/>
        <v>0</v>
      </c>
      <c r="E189" s="103">
        <f t="shared" si="11"/>
        <v>0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6.5" hidden="1" thickBot="1" x14ac:dyDescent="0.3">
      <c r="A190" s="88" t="s">
        <v>183</v>
      </c>
      <c r="B190" s="59" t="s">
        <v>361</v>
      </c>
      <c r="C190" s="106"/>
      <c r="D190" s="103">
        <f t="shared" si="10"/>
        <v>0</v>
      </c>
      <c r="E190" s="103">
        <f t="shared" si="11"/>
        <v>0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6.5" hidden="1" thickBot="1" x14ac:dyDescent="0.3">
      <c r="A191" s="88" t="s">
        <v>184</v>
      </c>
      <c r="B191" s="59" t="s">
        <v>362</v>
      </c>
      <c r="C191" s="106"/>
      <c r="D191" s="103">
        <f t="shared" si="10"/>
        <v>0</v>
      </c>
      <c r="E191" s="103">
        <f t="shared" si="11"/>
        <v>0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6.5" hidden="1" thickBot="1" x14ac:dyDescent="0.3">
      <c r="A192" s="88" t="s">
        <v>185</v>
      </c>
      <c r="B192" s="59" t="s">
        <v>363</v>
      </c>
      <c r="C192" s="106"/>
      <c r="D192" s="103">
        <f t="shared" si="10"/>
        <v>0</v>
      </c>
      <c r="E192" s="103">
        <f t="shared" si="11"/>
        <v>0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6.5" hidden="1" thickBot="1" x14ac:dyDescent="0.3">
      <c r="A193" s="88" t="s">
        <v>367</v>
      </c>
      <c r="B193" s="59" t="s">
        <v>366</v>
      </c>
      <c r="C193" s="106"/>
      <c r="D193" s="103">
        <f t="shared" si="10"/>
        <v>0</v>
      </c>
      <c r="E193" s="103">
        <f t="shared" si="11"/>
        <v>0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6.5" hidden="1" thickBot="1" x14ac:dyDescent="0.3">
      <c r="A194" s="96">
        <v>8001</v>
      </c>
      <c r="B194" s="59" t="s">
        <v>365</v>
      </c>
      <c r="C194" s="106"/>
      <c r="D194" s="103">
        <f t="shared" si="10"/>
        <v>0</v>
      </c>
      <c r="E194" s="103">
        <f t="shared" si="11"/>
        <v>0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s="20" customFormat="1" ht="16.5" thickBot="1" x14ac:dyDescent="0.3">
      <c r="A195" s="88" t="s">
        <v>182</v>
      </c>
      <c r="B195" s="268" t="s">
        <v>360</v>
      </c>
      <c r="C195" s="106">
        <v>12183</v>
      </c>
      <c r="D195" s="103">
        <f t="shared" si="10"/>
        <v>0</v>
      </c>
      <c r="E195" s="103">
        <f>C195-D195</f>
        <v>12183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s="20" customFormat="1" ht="16.5" thickBot="1" x14ac:dyDescent="0.3">
      <c r="A196" s="63"/>
      <c r="B196" s="59"/>
      <c r="C196" s="59"/>
      <c r="D196" s="59"/>
      <c r="E196" s="5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s="189" customFormat="1" ht="16.5" thickBot="1" x14ac:dyDescent="0.3">
      <c r="A197" s="190"/>
      <c r="B197" s="169"/>
      <c r="C197" s="170">
        <f>SUM(C20:C196)</f>
        <v>541923</v>
      </c>
      <c r="D197" s="170">
        <f t="shared" ref="D197:E197" si="12">SUM(D20:D196)</f>
        <v>499417</v>
      </c>
      <c r="E197" s="170">
        <f t="shared" si="12"/>
        <v>42506</v>
      </c>
      <c r="F197" s="184">
        <f>SUM(F20:F196)</f>
        <v>0</v>
      </c>
      <c r="G197" s="184">
        <f t="shared" ref="G197:AF197" si="13">SUM(G20:G196)</f>
        <v>0</v>
      </c>
      <c r="H197" s="184">
        <f t="shared" si="13"/>
        <v>0</v>
      </c>
      <c r="I197" s="184">
        <f t="shared" si="13"/>
        <v>45187</v>
      </c>
      <c r="J197" s="184">
        <f t="shared" si="13"/>
        <v>6774</v>
      </c>
      <c r="K197" s="184">
        <f t="shared" si="13"/>
        <v>15009</v>
      </c>
      <c r="L197" s="184">
        <f t="shared" si="13"/>
        <v>24604</v>
      </c>
      <c r="M197" s="184">
        <f t="shared" si="13"/>
        <v>9963</v>
      </c>
      <c r="N197" s="184">
        <f t="shared" si="13"/>
        <v>43646</v>
      </c>
      <c r="O197" s="184">
        <f t="shared" si="13"/>
        <v>43550</v>
      </c>
      <c r="P197" s="184">
        <f t="shared" si="13"/>
        <v>50863</v>
      </c>
      <c r="Q197" s="184">
        <f t="shared" si="13"/>
        <v>61583</v>
      </c>
      <c r="R197" s="184">
        <f t="shared" si="13"/>
        <v>24670</v>
      </c>
      <c r="S197" s="184">
        <f t="shared" si="13"/>
        <v>21119</v>
      </c>
      <c r="T197" s="184">
        <f t="shared" si="13"/>
        <v>21348</v>
      </c>
      <c r="U197" s="184">
        <f t="shared" si="13"/>
        <v>10232</v>
      </c>
      <c r="V197" s="184">
        <f t="shared" si="13"/>
        <v>51085</v>
      </c>
      <c r="W197" s="184">
        <f t="shared" si="13"/>
        <v>6984</v>
      </c>
      <c r="X197" s="184">
        <f t="shared" si="13"/>
        <v>18243</v>
      </c>
      <c r="Y197" s="184">
        <f t="shared" si="13"/>
        <v>5059</v>
      </c>
      <c r="Z197" s="184">
        <f t="shared" si="13"/>
        <v>16420</v>
      </c>
      <c r="AA197" s="184">
        <f t="shared" si="13"/>
        <v>13389</v>
      </c>
      <c r="AB197" s="184">
        <f t="shared" si="13"/>
        <v>818</v>
      </c>
      <c r="AC197" s="184">
        <f t="shared" si="13"/>
        <v>4355</v>
      </c>
      <c r="AD197" s="184">
        <f t="shared" si="13"/>
        <v>511</v>
      </c>
      <c r="AE197" s="184">
        <f t="shared" si="13"/>
        <v>988</v>
      </c>
      <c r="AF197" s="184">
        <f t="shared" si="13"/>
        <v>3017</v>
      </c>
    </row>
    <row r="198" spans="1:32" x14ac:dyDescent="0.25">
      <c r="I198" s="20"/>
    </row>
    <row r="201" spans="1:32" x14ac:dyDescent="0.25">
      <c r="T201" s="256"/>
    </row>
  </sheetData>
  <sheetProtection algorithmName="SHA-512" hashValue="BCSt1+BGWRw+oDCixLKxV/Ls9Qx68x7BY1jL6xX1HCPj3vac+GEtMEmc4cU7uOUzf5Ddb49s1/Xao3W66R8aKw==" saltValue="/MAafVUy1kgnPAVUiV9Zkw==" spinCount="100000" sheet="1" objects="1" scenarios="1"/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OF FORMULA GRANT</vt:lpstr>
      <vt:lpstr>NCLB Title I-A Formula</vt:lpstr>
      <vt:lpstr>NCLB Title I-C Migrant</vt:lpstr>
      <vt:lpstr>NCLB Title I-Delinquent</vt:lpstr>
      <vt:lpstr>StateAgenciesTitle I-Delinquent</vt:lpstr>
      <vt:lpstr>NCLB Title II-A Formula</vt:lpstr>
      <vt:lpstr>NCLB Title III-A </vt:lpstr>
      <vt:lpstr>NCLB Title III SAI</vt:lpstr>
      <vt:lpstr>TITLE VI RURAL LI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Tim Kahle</cp:lastModifiedBy>
  <cp:lastPrinted>2013-03-06T16:17:50Z</cp:lastPrinted>
  <dcterms:created xsi:type="dcterms:W3CDTF">2011-11-14T17:06:02Z</dcterms:created>
  <dcterms:modified xsi:type="dcterms:W3CDTF">2016-09-29T20:46:12Z</dcterms:modified>
</cp:coreProperties>
</file>