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J:\MILLS\FY2024-25 Mill Information\"/>
    </mc:Choice>
  </mc:AlternateContent>
  <xr:revisionPtr revIDLastSave="0" documentId="13_ncr:1_{DE9E54BC-40B6-4EE7-BE5F-E30B0800DB2D}" xr6:coauthVersionLast="47" xr6:coauthVersionMax="47" xr10:uidLastSave="{00000000-0000-0000-0000-000000000000}"/>
  <bookViews>
    <workbookView xWindow="-110" yWindow="-110" windowWidth="19420" windowHeight="10420" xr2:uid="{162577C1-9E3E-4D29-A5D1-B06633EDA878}"/>
  </bookViews>
  <sheets>
    <sheet name="CDE Mill Levy Certification " sheetId="14" r:id="rId1"/>
    <sheet name="Dec2022Data" sheetId="29" state="hidden" r:id="rId2"/>
    <sheet name="Hold Harmless" sheetId="28" state="hidden" r:id="rId3"/>
    <sheet name="Suppl Info" sheetId="25" state="hidden" r:id="rId4"/>
    <sheet name="General #10 collections" sheetId="16" state="hidden" r:id="rId5"/>
    <sheet name="Bond #31 collections " sheetId="17" state="hidden" r:id="rId6"/>
    <sheet name="Transportion #25 collections" sheetId="18" state="hidden" r:id="rId7"/>
    <sheet name="Special BLDG &amp; Tech #42 collec" sheetId="19" state="hidden" r:id="rId8"/>
    <sheet name="Supp CCTechMaint Fund #46 or 06" sheetId="20" state="hidden" r:id="rId9"/>
    <sheet name="Data FY23 Final" sheetId="15" state="hidden" r:id="rId10"/>
    <sheet name="Data FY24 Final" sheetId="30" state="hidden" r:id="rId11"/>
    <sheet name="Data Aug 25 AV" sheetId="27" r:id="rId12"/>
  </sheets>
  <externalReferences>
    <externalReference r:id="rId13"/>
    <externalReference r:id="rId14"/>
  </externalReferences>
  <definedNames>
    <definedName name="_xlnm._FilterDatabase" localSheetId="0" hidden="1">'CDE Mill Levy Certification '!$A$19:$E$84</definedName>
    <definedName name="_xlnm._FilterDatabase" localSheetId="11">'Data Aug 25 AV'!$A$2:$Z$180</definedName>
    <definedName name="_xlnm._FilterDatabase" localSheetId="9">'Data FY23 Final'!$A$2:$W$180</definedName>
    <definedName name="GMONEY" localSheetId="1">#REF!</definedName>
    <definedName name="GMONEY">#REF!</definedName>
    <definedName name="NvsASD">"V2005-07-31"</definedName>
    <definedName name="NvsAutoDrillOk">"VN"</definedName>
    <definedName name="NvsElapsedTime">0.000706018523487728</definedName>
    <definedName name="NvsEndTime">38646.4486226852</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Effdt">"V1999-08-02"</definedName>
    <definedName name="NvsPanelSetid">"VSD11"</definedName>
    <definedName name="NvsReqBU">"VSD11"</definedName>
    <definedName name="NvsReqBUOnly">"VY"</definedName>
    <definedName name="NvsTransLed">"VN"</definedName>
    <definedName name="NvsTreeASD">"V2005-07-31"</definedName>
    <definedName name="NvsValTbl.ACCOUNT">"GL_ACCOUNT_TBL"</definedName>
    <definedName name="NvsValTbl.BUDGET_PERIOD">"APPROP_BP_VW"</definedName>
    <definedName name="NvsValTbl.DEPTID">"DEPT_TBL"</definedName>
    <definedName name="NvsValTbl.FUND_CODE">"FUND_TBL"</definedName>
    <definedName name="NvsValTbl.PROGRAM_CODE">"PROGRAM_TBL"</definedName>
    <definedName name="NvsValTbl.PROJECT_ID">"PROJECT_ALL_VW"</definedName>
    <definedName name="NvsValTbl.SCENARIO">"BD_SCENARIO_TBL"</definedName>
    <definedName name="_xlnm.Print_Area" localSheetId="0">'CDE Mill Levy Certification '!$A$11:$F$82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65" i="27" l="1"/>
  <c r="Y365" i="27"/>
  <c r="X365" i="27"/>
  <c r="W365" i="27"/>
  <c r="V365" i="27"/>
  <c r="U365" i="27"/>
  <c r="T365" i="27"/>
  <c r="S365" i="27"/>
  <c r="R365" i="27"/>
  <c r="P365" i="27"/>
  <c r="N365" i="27"/>
  <c r="M365" i="27"/>
  <c r="L365" i="27"/>
  <c r="K365" i="27"/>
  <c r="J365" i="27"/>
  <c r="I365" i="27"/>
  <c r="H365" i="27"/>
  <c r="G365" i="27"/>
  <c r="F365" i="27"/>
  <c r="E365" i="27"/>
  <c r="D365" i="27"/>
  <c r="X183" i="27"/>
  <c r="V183" i="27"/>
  <c r="L183" i="27"/>
  <c r="W182" i="27"/>
  <c r="V182" i="27"/>
  <c r="U182" i="27"/>
  <c r="T182" i="27"/>
  <c r="S182" i="27"/>
  <c r="R182" i="27"/>
  <c r="Q182" i="27"/>
  <c r="P182" i="27"/>
  <c r="O182" i="27"/>
  <c r="N182" i="27"/>
  <c r="M182" i="27"/>
  <c r="L182" i="27"/>
  <c r="K182" i="27"/>
  <c r="K183" i="27" s="1"/>
  <c r="J182" i="27"/>
  <c r="H182" i="27"/>
  <c r="G182" i="27"/>
  <c r="F182" i="27"/>
  <c r="E182" i="27"/>
  <c r="D182" i="27"/>
  <c r="D183" i="27" s="1"/>
  <c r="AA181" i="27"/>
  <c r="AA183" i="27" s="1"/>
  <c r="Z181" i="27"/>
  <c r="Z183" i="27" s="1"/>
  <c r="Y181" i="27"/>
  <c r="Y183" i="27" s="1"/>
  <c r="X181" i="27"/>
  <c r="V181" i="27"/>
  <c r="U181" i="27"/>
  <c r="U183" i="27" s="1"/>
  <c r="T181" i="27"/>
  <c r="T183" i="27" s="1"/>
  <c r="S181" i="27"/>
  <c r="S183" i="27" s="1"/>
  <c r="R181" i="27"/>
  <c r="R183" i="27" s="1"/>
  <c r="O181" i="27"/>
  <c r="O183" i="27" s="1"/>
  <c r="N181" i="27"/>
  <c r="N183" i="27" s="1"/>
  <c r="M181" i="27"/>
  <c r="M183" i="27" s="1"/>
  <c r="L181" i="27"/>
  <c r="K181" i="27"/>
  <c r="H181" i="27"/>
  <c r="H183" i="27" s="1"/>
  <c r="G181" i="27"/>
  <c r="G183" i="27" s="1"/>
  <c r="E181" i="27"/>
  <c r="E183" i="27" s="1"/>
  <c r="D181" i="27"/>
  <c r="AX180" i="27"/>
  <c r="AW180" i="27"/>
  <c r="AV180" i="27"/>
  <c r="AT180" i="27"/>
  <c r="AS180" i="27"/>
  <c r="AR180" i="27"/>
  <c r="AQ180" i="27"/>
  <c r="AP180" i="27"/>
  <c r="AM180" i="27"/>
  <c r="AL180" i="27"/>
  <c r="AK180" i="27"/>
  <c r="AJ180" i="27"/>
  <c r="AI180" i="27"/>
  <c r="AG180" i="27"/>
  <c r="AF180" i="27"/>
  <c r="AE180" i="27"/>
  <c r="AC180" i="27"/>
  <c r="AB180" i="27"/>
  <c r="J180" i="27"/>
  <c r="AH180" i="27" s="1"/>
  <c r="F180" i="27"/>
  <c r="AX179" i="27"/>
  <c r="AW179" i="27"/>
  <c r="AV179" i="27"/>
  <c r="AT179" i="27"/>
  <c r="AS179" i="27"/>
  <c r="AR179" i="27"/>
  <c r="AQ179" i="27"/>
  <c r="AP179" i="27"/>
  <c r="AM179" i="27"/>
  <c r="AL179" i="27"/>
  <c r="AK179" i="27"/>
  <c r="AJ179" i="27"/>
  <c r="AI179" i="27"/>
  <c r="AH179" i="27"/>
  <c r="AG179" i="27"/>
  <c r="AF179" i="27"/>
  <c r="AE179" i="27"/>
  <c r="AC179" i="27"/>
  <c r="AB179" i="27"/>
  <c r="J179" i="27"/>
  <c r="F179" i="27"/>
  <c r="P179" i="27" s="1"/>
  <c r="AX178" i="27"/>
  <c r="AW178" i="27"/>
  <c r="AV178" i="27"/>
  <c r="AT178" i="27"/>
  <c r="AS178" i="27"/>
  <c r="AR178" i="27"/>
  <c r="AQ178" i="27"/>
  <c r="AP178" i="27"/>
  <c r="AM178" i="27"/>
  <c r="AL178" i="27"/>
  <c r="AK178" i="27"/>
  <c r="AJ178" i="27"/>
  <c r="AI178" i="27"/>
  <c r="AG178" i="27"/>
  <c r="AF178" i="27"/>
  <c r="AE178" i="27"/>
  <c r="AD178" i="27"/>
  <c r="AC178" i="27"/>
  <c r="AB178" i="27"/>
  <c r="P178" i="27"/>
  <c r="AN178" i="27" s="1"/>
  <c r="J178" i="27"/>
  <c r="AH178" i="27" s="1"/>
  <c r="AX177" i="27"/>
  <c r="AW177" i="27"/>
  <c r="AV177" i="27"/>
  <c r="AT177" i="27"/>
  <c r="AS177" i="27"/>
  <c r="AR177" i="27"/>
  <c r="AQ177" i="27"/>
  <c r="AP177" i="27"/>
  <c r="AN177" i="27"/>
  <c r="AM177" i="27"/>
  <c r="AL177" i="27"/>
  <c r="AK177" i="27"/>
  <c r="AJ177" i="27"/>
  <c r="AI177" i="27"/>
  <c r="AH177" i="27"/>
  <c r="AG177" i="27"/>
  <c r="AF177" i="27"/>
  <c r="AE177" i="27"/>
  <c r="AD177" i="27"/>
  <c r="AC177" i="27"/>
  <c r="AB177" i="27"/>
  <c r="P177" i="27"/>
  <c r="J177" i="27"/>
  <c r="Q177" i="27" s="1"/>
  <c r="AX176" i="27"/>
  <c r="AW176" i="27"/>
  <c r="AV176" i="27"/>
  <c r="AT176" i="27"/>
  <c r="AS176" i="27"/>
  <c r="AR176" i="27"/>
  <c r="AQ176" i="27"/>
  <c r="AP176" i="27"/>
  <c r="AM176" i="27"/>
  <c r="AL176" i="27"/>
  <c r="AK176" i="27"/>
  <c r="AJ176" i="27"/>
  <c r="AI176" i="27"/>
  <c r="AG176" i="27"/>
  <c r="AF176" i="27"/>
  <c r="AE176" i="27"/>
  <c r="AD176" i="27"/>
  <c r="AC176" i="27"/>
  <c r="AB176" i="27"/>
  <c r="P176" i="27"/>
  <c r="J176" i="27"/>
  <c r="AH176" i="27" s="1"/>
  <c r="AX175" i="27"/>
  <c r="AW175" i="27"/>
  <c r="AV175" i="27"/>
  <c r="AT175" i="27"/>
  <c r="AS175" i="27"/>
  <c r="AR175" i="27"/>
  <c r="AQ175" i="27"/>
  <c r="AP175" i="27"/>
  <c r="AN175" i="27"/>
  <c r="AM175" i="27"/>
  <c r="AL175" i="27"/>
  <c r="AK175" i="27"/>
  <c r="AJ175" i="27"/>
  <c r="AI175" i="27"/>
  <c r="AG175" i="27"/>
  <c r="AF175" i="27"/>
  <c r="AE175" i="27"/>
  <c r="AD175" i="27"/>
  <c r="AC175" i="27"/>
  <c r="AB175" i="27"/>
  <c r="P175" i="27"/>
  <c r="J175" i="27"/>
  <c r="Q175" i="27" s="1"/>
  <c r="AX174" i="27"/>
  <c r="AW174" i="27"/>
  <c r="AV174" i="27"/>
  <c r="AT174" i="27"/>
  <c r="AS174" i="27"/>
  <c r="AR174" i="27"/>
  <c r="AQ174" i="27"/>
  <c r="AP174" i="27"/>
  <c r="AM174" i="27"/>
  <c r="AL174" i="27"/>
  <c r="AK174" i="27"/>
  <c r="AJ174" i="27"/>
  <c r="AI174" i="27"/>
  <c r="AG174" i="27"/>
  <c r="AF174" i="27"/>
  <c r="AE174" i="27"/>
  <c r="AC174" i="27"/>
  <c r="AB174" i="27"/>
  <c r="P174" i="27"/>
  <c r="AN174" i="27" s="1"/>
  <c r="J174" i="27"/>
  <c r="Q174" i="27" s="1"/>
  <c r="F174" i="27"/>
  <c r="AD174" i="27" s="1"/>
  <c r="AX173" i="27"/>
  <c r="AW173" i="27"/>
  <c r="AV173" i="27"/>
  <c r="AT173" i="27"/>
  <c r="AS173" i="27"/>
  <c r="AR173" i="27"/>
  <c r="AQ173" i="27"/>
  <c r="AP173" i="27"/>
  <c r="AN173" i="27"/>
  <c r="AM173" i="27"/>
  <c r="AL173" i="27"/>
  <c r="AK173" i="27"/>
  <c r="AJ173" i="27"/>
  <c r="AI173" i="27"/>
  <c r="AG173" i="27"/>
  <c r="AF173" i="27"/>
  <c r="AE173" i="27"/>
  <c r="AD173" i="27"/>
  <c r="AC173" i="27"/>
  <c r="AB173" i="27"/>
  <c r="P173" i="27"/>
  <c r="J173" i="27"/>
  <c r="AH173" i="27" s="1"/>
  <c r="AX172" i="27"/>
  <c r="AW172" i="27"/>
  <c r="AV172" i="27"/>
  <c r="AT172" i="27"/>
  <c r="AS172" i="27"/>
  <c r="AR172" i="27"/>
  <c r="AQ172" i="27"/>
  <c r="AP172" i="27"/>
  <c r="AM172" i="27"/>
  <c r="AL172" i="27"/>
  <c r="AK172" i="27"/>
  <c r="AJ172" i="27"/>
  <c r="AI172" i="27"/>
  <c r="AH172" i="27"/>
  <c r="AG172" i="27"/>
  <c r="AF172" i="27"/>
  <c r="AE172" i="27"/>
  <c r="AD172" i="27"/>
  <c r="AC172" i="27"/>
  <c r="AB172" i="27"/>
  <c r="Q172" i="27"/>
  <c r="P172" i="27"/>
  <c r="AN172" i="27" s="1"/>
  <c r="J172" i="27"/>
  <c r="AX171" i="27"/>
  <c r="AW171" i="27"/>
  <c r="AV171" i="27"/>
  <c r="AT171" i="27"/>
  <c r="AS171" i="27"/>
  <c r="AR171" i="27"/>
  <c r="AQ171" i="27"/>
  <c r="AP171" i="27"/>
  <c r="AO171" i="27"/>
  <c r="AM171" i="27"/>
  <c r="AL171" i="27"/>
  <c r="AK171" i="27"/>
  <c r="AJ171" i="27"/>
  <c r="AI171" i="27"/>
  <c r="AH171" i="27"/>
  <c r="AG171" i="27"/>
  <c r="AF171" i="27"/>
  <c r="AE171" i="27"/>
  <c r="AD171" i="27"/>
  <c r="AC171" i="27"/>
  <c r="AB171" i="27"/>
  <c r="P171" i="27"/>
  <c r="AN171" i="27" s="1"/>
  <c r="J171" i="27"/>
  <c r="Q171" i="27" s="1"/>
  <c r="W171" i="27" s="1"/>
  <c r="AU171" i="27" s="1"/>
  <c r="AX170" i="27"/>
  <c r="AW170" i="27"/>
  <c r="AV170" i="27"/>
  <c r="AT170" i="27"/>
  <c r="AS170" i="27"/>
  <c r="AR170" i="27"/>
  <c r="AQ170" i="27"/>
  <c r="AP170" i="27"/>
  <c r="AM170" i="27"/>
  <c r="AL170" i="27"/>
  <c r="AK170" i="27"/>
  <c r="AJ170" i="27"/>
  <c r="AI170" i="27"/>
  <c r="AG170" i="27"/>
  <c r="AF170" i="27"/>
  <c r="AE170" i="27"/>
  <c r="AD170" i="27"/>
  <c r="AC170" i="27"/>
  <c r="AB170" i="27"/>
  <c r="P170" i="27"/>
  <c r="AN170" i="27" s="1"/>
  <c r="J170" i="27"/>
  <c r="AH170" i="27" s="1"/>
  <c r="AX169" i="27"/>
  <c r="AW169" i="27"/>
  <c r="AV169" i="27"/>
  <c r="AT169" i="27"/>
  <c r="AS169" i="27"/>
  <c r="AR169" i="27"/>
  <c r="AQ169" i="27"/>
  <c r="AP169" i="27"/>
  <c r="AN169" i="27"/>
  <c r="AM169" i="27"/>
  <c r="AL169" i="27"/>
  <c r="AK169" i="27"/>
  <c r="AJ169" i="27"/>
  <c r="AI169" i="27"/>
  <c r="AG169" i="27"/>
  <c r="AF169" i="27"/>
  <c r="AE169" i="27"/>
  <c r="AD169" i="27"/>
  <c r="AC169" i="27"/>
  <c r="AB169" i="27"/>
  <c r="P169" i="27"/>
  <c r="J169" i="27"/>
  <c r="AH169" i="27" s="1"/>
  <c r="AX168" i="27"/>
  <c r="AW168" i="27"/>
  <c r="AV168" i="27"/>
  <c r="AT168" i="27"/>
  <c r="AS168" i="27"/>
  <c r="AR168" i="27"/>
  <c r="AQ168" i="27"/>
  <c r="AP168" i="27"/>
  <c r="AM168" i="27"/>
  <c r="AL168" i="27"/>
  <c r="AK168" i="27"/>
  <c r="AJ168" i="27"/>
  <c r="AI168" i="27"/>
  <c r="AH168" i="27"/>
  <c r="AG168" i="27"/>
  <c r="AF168" i="27"/>
  <c r="AE168" i="27"/>
  <c r="AD168" i="27"/>
  <c r="AC168" i="27"/>
  <c r="AB168" i="27"/>
  <c r="Q168" i="27"/>
  <c r="P168" i="27"/>
  <c r="AN168" i="27" s="1"/>
  <c r="J168" i="27"/>
  <c r="AX167" i="27"/>
  <c r="AW167" i="27"/>
  <c r="AV167" i="27"/>
  <c r="AT167" i="27"/>
  <c r="AS167" i="27"/>
  <c r="AR167" i="27"/>
  <c r="AQ167" i="27"/>
  <c r="AP167" i="27"/>
  <c r="AM167" i="27"/>
  <c r="AL167" i="27"/>
  <c r="AK167" i="27"/>
  <c r="AJ167" i="27"/>
  <c r="AI167" i="27"/>
  <c r="AH167" i="27"/>
  <c r="AG167" i="27"/>
  <c r="AF167" i="27"/>
  <c r="AE167" i="27"/>
  <c r="AC167" i="27"/>
  <c r="AB167" i="27"/>
  <c r="P167" i="27"/>
  <c r="AN167" i="27" s="1"/>
  <c r="J167" i="27"/>
  <c r="Q167" i="27" s="1"/>
  <c r="W167" i="27" s="1"/>
  <c r="AU167" i="27" s="1"/>
  <c r="F167" i="27"/>
  <c r="AD167" i="27" s="1"/>
  <c r="AX166" i="27"/>
  <c r="AW166" i="27"/>
  <c r="AV166" i="27"/>
  <c r="AT166" i="27"/>
  <c r="AS166" i="27"/>
  <c r="AR166" i="27"/>
  <c r="AQ166" i="27"/>
  <c r="AP166" i="27"/>
  <c r="AN166" i="27"/>
  <c r="AM166" i="27"/>
  <c r="AL166" i="27"/>
  <c r="AK166" i="27"/>
  <c r="AJ166" i="27"/>
  <c r="AI166" i="27"/>
  <c r="AH166" i="27"/>
  <c r="AG166" i="27"/>
  <c r="AF166" i="27"/>
  <c r="AE166" i="27"/>
  <c r="AD166" i="27"/>
  <c r="AC166" i="27"/>
  <c r="AB166" i="27"/>
  <c r="Q166" i="27"/>
  <c r="AO166" i="27" s="1"/>
  <c r="P166" i="27"/>
  <c r="J166" i="27"/>
  <c r="AX165" i="27"/>
  <c r="AW165" i="27"/>
  <c r="AV165" i="27"/>
  <c r="AT165" i="27"/>
  <c r="AS165" i="27"/>
  <c r="AR165" i="27"/>
  <c r="AQ165" i="27"/>
  <c r="AP165" i="27"/>
  <c r="AM165" i="27"/>
  <c r="AL165" i="27"/>
  <c r="AK165" i="27"/>
  <c r="AJ165" i="27"/>
  <c r="AI165" i="27"/>
  <c r="AG165" i="27"/>
  <c r="AF165" i="27"/>
  <c r="AE165" i="27"/>
  <c r="AD165" i="27"/>
  <c r="AC165" i="27"/>
  <c r="AB165" i="27"/>
  <c r="P165" i="27"/>
  <c r="AN165" i="27" s="1"/>
  <c r="J165" i="27"/>
  <c r="AX164" i="27"/>
  <c r="AW164" i="27"/>
  <c r="AV164" i="27"/>
  <c r="AT164" i="27"/>
  <c r="AS164" i="27"/>
  <c r="AR164" i="27"/>
  <c r="AQ164" i="27"/>
  <c r="AP164" i="27"/>
  <c r="AM164" i="27"/>
  <c r="AL164" i="27"/>
  <c r="AK164" i="27"/>
  <c r="AJ164" i="27"/>
  <c r="AI164" i="27"/>
  <c r="AH164" i="27"/>
  <c r="AG164" i="27"/>
  <c r="AF164" i="27"/>
  <c r="AE164" i="27"/>
  <c r="AC164" i="27"/>
  <c r="AB164" i="27"/>
  <c r="J164" i="27"/>
  <c r="F164" i="27"/>
  <c r="P164" i="27" s="1"/>
  <c r="AN164" i="27" s="1"/>
  <c r="AX163" i="27"/>
  <c r="AW163" i="27"/>
  <c r="AV163" i="27"/>
  <c r="AT163" i="27"/>
  <c r="AS163" i="27"/>
  <c r="AR163" i="27"/>
  <c r="AQ163" i="27"/>
  <c r="AP163" i="27"/>
  <c r="AM163" i="27"/>
  <c r="AL163" i="27"/>
  <c r="AK163" i="27"/>
  <c r="AJ163" i="27"/>
  <c r="AI163" i="27"/>
  <c r="AG163" i="27"/>
  <c r="AF163" i="27"/>
  <c r="AE163" i="27"/>
  <c r="AD163" i="27"/>
  <c r="AC163" i="27"/>
  <c r="AB163" i="27"/>
  <c r="P163" i="27"/>
  <c r="AN163" i="27" s="1"/>
  <c r="J163" i="27"/>
  <c r="Q163" i="27" s="1"/>
  <c r="F163" i="27"/>
  <c r="AX162" i="27"/>
  <c r="AW162" i="27"/>
  <c r="AV162" i="27"/>
  <c r="AT162" i="27"/>
  <c r="AS162" i="27"/>
  <c r="AR162" i="27"/>
  <c r="AQ162" i="27"/>
  <c r="AP162" i="27"/>
  <c r="AM162" i="27"/>
  <c r="AL162" i="27"/>
  <c r="AK162" i="27"/>
  <c r="AJ162" i="27"/>
  <c r="AI162" i="27"/>
  <c r="AG162" i="27"/>
  <c r="AF162" i="27"/>
  <c r="AE162" i="27"/>
  <c r="AC162" i="27"/>
  <c r="AB162" i="27"/>
  <c r="J162" i="27"/>
  <c r="AH162" i="27" s="1"/>
  <c r="F162" i="27"/>
  <c r="AX161" i="27"/>
  <c r="AW161" i="27"/>
  <c r="AV161" i="27"/>
  <c r="AT161" i="27"/>
  <c r="AS161" i="27"/>
  <c r="AR161" i="27"/>
  <c r="AQ161" i="27"/>
  <c r="AP161" i="27"/>
  <c r="AM161" i="27"/>
  <c r="AL161" i="27"/>
  <c r="AK161" i="27"/>
  <c r="AJ161" i="27"/>
  <c r="AI161" i="27"/>
  <c r="AH161" i="27"/>
  <c r="AG161" i="27"/>
  <c r="AF161" i="27"/>
  <c r="AE161" i="27"/>
  <c r="AC161" i="27"/>
  <c r="AB161" i="27"/>
  <c r="J161" i="27"/>
  <c r="Q161" i="27" s="1"/>
  <c r="AO161" i="27" s="1"/>
  <c r="F161" i="27"/>
  <c r="P161" i="27" s="1"/>
  <c r="AN161" i="27" s="1"/>
  <c r="AX160" i="27"/>
  <c r="AW160" i="27"/>
  <c r="AV160" i="27"/>
  <c r="AT160" i="27"/>
  <c r="AS160" i="27"/>
  <c r="AR160" i="27"/>
  <c r="AQ160" i="27"/>
  <c r="AP160" i="27"/>
  <c r="AM160" i="27"/>
  <c r="AL160" i="27"/>
  <c r="AK160" i="27"/>
  <c r="AJ160" i="27"/>
  <c r="AI160" i="27"/>
  <c r="AG160" i="27"/>
  <c r="AF160" i="27"/>
  <c r="AE160" i="27"/>
  <c r="AD160" i="27"/>
  <c r="AC160" i="27"/>
  <c r="AB160" i="27"/>
  <c r="P160" i="27"/>
  <c r="AN160" i="27" s="1"/>
  <c r="J160" i="27"/>
  <c r="Q160" i="27" s="1"/>
  <c r="F160" i="27"/>
  <c r="AX159" i="27"/>
  <c r="AW159" i="27"/>
  <c r="AV159" i="27"/>
  <c r="AT159" i="27"/>
  <c r="AS159" i="27"/>
  <c r="AR159" i="27"/>
  <c r="AQ159" i="27"/>
  <c r="AP159" i="27"/>
  <c r="AM159" i="27"/>
  <c r="AL159" i="27"/>
  <c r="AK159" i="27"/>
  <c r="AJ159" i="27"/>
  <c r="AI159" i="27"/>
  <c r="AG159" i="27"/>
  <c r="AF159" i="27"/>
  <c r="AE159" i="27"/>
  <c r="AC159" i="27"/>
  <c r="AB159" i="27"/>
  <c r="J159" i="27"/>
  <c r="AH159" i="27" s="1"/>
  <c r="F159" i="27"/>
  <c r="AX158" i="27"/>
  <c r="AW158" i="27"/>
  <c r="AV158" i="27"/>
  <c r="AT158" i="27"/>
  <c r="AS158" i="27"/>
  <c r="AR158" i="27"/>
  <c r="AQ158" i="27"/>
  <c r="AP158" i="27"/>
  <c r="AM158" i="27"/>
  <c r="AL158" i="27"/>
  <c r="AK158" i="27"/>
  <c r="AJ158" i="27"/>
  <c r="AI158" i="27"/>
  <c r="AH158" i="27"/>
  <c r="AG158" i="27"/>
  <c r="AF158" i="27"/>
  <c r="AE158" i="27"/>
  <c r="AC158" i="27"/>
  <c r="AB158" i="27"/>
  <c r="J158" i="27"/>
  <c r="Q158" i="27" s="1"/>
  <c r="AO158" i="27" s="1"/>
  <c r="F158" i="27"/>
  <c r="P158" i="27" s="1"/>
  <c r="AN158" i="27" s="1"/>
  <c r="AX157" i="27"/>
  <c r="AW157" i="27"/>
  <c r="AV157" i="27"/>
  <c r="AT157" i="27"/>
  <c r="AS157" i="27"/>
  <c r="AR157" i="27"/>
  <c r="AQ157" i="27"/>
  <c r="AP157" i="27"/>
  <c r="AM157" i="27"/>
  <c r="AL157" i="27"/>
  <c r="AK157" i="27"/>
  <c r="AJ157" i="27"/>
  <c r="AI157" i="27"/>
  <c r="AG157" i="27"/>
  <c r="AF157" i="27"/>
  <c r="AE157" i="27"/>
  <c r="AD157" i="27"/>
  <c r="AC157" i="27"/>
  <c r="AB157" i="27"/>
  <c r="P157" i="27"/>
  <c r="AN157" i="27" s="1"/>
  <c r="J157" i="27"/>
  <c r="Q157" i="27" s="1"/>
  <c r="F157" i="27"/>
  <c r="AX156" i="27"/>
  <c r="AW156" i="27"/>
  <c r="AV156" i="27"/>
  <c r="AT156" i="27"/>
  <c r="AS156" i="27"/>
  <c r="AR156" i="27"/>
  <c r="AQ156" i="27"/>
  <c r="AP156" i="27"/>
  <c r="AM156" i="27"/>
  <c r="AL156" i="27"/>
  <c r="AK156" i="27"/>
  <c r="AJ156" i="27"/>
  <c r="AI156" i="27"/>
  <c r="AG156" i="27"/>
  <c r="AF156" i="27"/>
  <c r="AE156" i="27"/>
  <c r="AC156" i="27"/>
  <c r="AB156" i="27"/>
  <c r="J156" i="27"/>
  <c r="AH156" i="27" s="1"/>
  <c r="F156" i="27"/>
  <c r="AX155" i="27"/>
  <c r="AW155" i="27"/>
  <c r="AV155" i="27"/>
  <c r="AT155" i="27"/>
  <c r="AS155" i="27"/>
  <c r="AR155" i="27"/>
  <c r="AQ155" i="27"/>
  <c r="AP155" i="27"/>
  <c r="AM155" i="27"/>
  <c r="AL155" i="27"/>
  <c r="AK155" i="27"/>
  <c r="AJ155" i="27"/>
  <c r="AI155" i="27"/>
  <c r="AH155" i="27"/>
  <c r="AG155" i="27"/>
  <c r="AF155" i="27"/>
  <c r="AE155" i="27"/>
  <c r="AC155" i="27"/>
  <c r="AB155" i="27"/>
  <c r="J155" i="27"/>
  <c r="F155" i="27"/>
  <c r="P155" i="27" s="1"/>
  <c r="AN155" i="27" s="1"/>
  <c r="AX154" i="27"/>
  <c r="AW154" i="27"/>
  <c r="AV154" i="27"/>
  <c r="AT154" i="27"/>
  <c r="AS154" i="27"/>
  <c r="AR154" i="27"/>
  <c r="AQ154" i="27"/>
  <c r="AP154" i="27"/>
  <c r="AM154" i="27"/>
  <c r="AL154" i="27"/>
  <c r="AK154" i="27"/>
  <c r="AJ154" i="27"/>
  <c r="AI154" i="27"/>
  <c r="AG154" i="27"/>
  <c r="AF154" i="27"/>
  <c r="AE154" i="27"/>
  <c r="AD154" i="27"/>
  <c r="AC154" i="27"/>
  <c r="AB154" i="27"/>
  <c r="P154" i="27"/>
  <c r="AN154" i="27" s="1"/>
  <c r="J154" i="27"/>
  <c r="Q154" i="27" s="1"/>
  <c r="F154" i="27"/>
  <c r="AX153" i="27"/>
  <c r="AW153" i="27"/>
  <c r="AV153" i="27"/>
  <c r="AT153" i="27"/>
  <c r="AS153" i="27"/>
  <c r="AR153" i="27"/>
  <c r="AQ153" i="27"/>
  <c r="AP153" i="27"/>
  <c r="AM153" i="27"/>
  <c r="AL153" i="27"/>
  <c r="AK153" i="27"/>
  <c r="AJ153" i="27"/>
  <c r="AI153" i="27"/>
  <c r="AG153" i="27"/>
  <c r="AF153" i="27"/>
  <c r="AE153" i="27"/>
  <c r="AC153" i="27"/>
  <c r="AB153" i="27"/>
  <c r="J153" i="27"/>
  <c r="AH153" i="27" s="1"/>
  <c r="F153" i="27"/>
  <c r="AX152" i="27"/>
  <c r="AW152" i="27"/>
  <c r="AV152" i="27"/>
  <c r="AT152" i="27"/>
  <c r="AS152" i="27"/>
  <c r="AR152" i="27"/>
  <c r="AQ152" i="27"/>
  <c r="AP152" i="27"/>
  <c r="AN152" i="27"/>
  <c r="AM152" i="27"/>
  <c r="AL152" i="27"/>
  <c r="AK152" i="27"/>
  <c r="AJ152" i="27"/>
  <c r="AI152" i="27"/>
  <c r="AH152" i="27"/>
  <c r="AG152" i="27"/>
  <c r="AF152" i="27"/>
  <c r="AE152" i="27"/>
  <c r="AD152" i="27"/>
  <c r="AC152" i="27"/>
  <c r="AB152" i="27"/>
  <c r="W152" i="27"/>
  <c r="AU152" i="27" s="1"/>
  <c r="Q152" i="27"/>
  <c r="AO152" i="27" s="1"/>
  <c r="P152" i="27"/>
  <c r="J152" i="27"/>
  <c r="AX151" i="27"/>
  <c r="AW151" i="27"/>
  <c r="AV151" i="27"/>
  <c r="AT151" i="27"/>
  <c r="AS151" i="27"/>
  <c r="AR151" i="27"/>
  <c r="AQ151" i="27"/>
  <c r="AP151" i="27"/>
  <c r="AM151" i="27"/>
  <c r="AL151" i="27"/>
  <c r="AK151" i="27"/>
  <c r="AJ151" i="27"/>
  <c r="AI151" i="27"/>
  <c r="AG151" i="27"/>
  <c r="AF151" i="27"/>
  <c r="AE151" i="27"/>
  <c r="AD151" i="27"/>
  <c r="AC151" i="27"/>
  <c r="AB151" i="27"/>
  <c r="P151" i="27"/>
  <c r="AN151" i="27" s="1"/>
  <c r="J151" i="27"/>
  <c r="Q151" i="27" s="1"/>
  <c r="AX150" i="27"/>
  <c r="AW150" i="27"/>
  <c r="AV150" i="27"/>
  <c r="AT150" i="27"/>
  <c r="AS150" i="27"/>
  <c r="AR150" i="27"/>
  <c r="AQ150" i="27"/>
  <c r="AP150" i="27"/>
  <c r="AN150" i="27"/>
  <c r="AM150" i="27"/>
  <c r="AL150" i="27"/>
  <c r="AK150" i="27"/>
  <c r="AJ150" i="27"/>
  <c r="AI150" i="27"/>
  <c r="AH150" i="27"/>
  <c r="AG150" i="27"/>
  <c r="AF150" i="27"/>
  <c r="AE150" i="27"/>
  <c r="AD150" i="27"/>
  <c r="AC150" i="27"/>
  <c r="AB150" i="27"/>
  <c r="Q150" i="27"/>
  <c r="AO150" i="27" s="1"/>
  <c r="P150" i="27"/>
  <c r="J150" i="27"/>
  <c r="AX149" i="27"/>
  <c r="AW149" i="27"/>
  <c r="AV149" i="27"/>
  <c r="AT149" i="27"/>
  <c r="AS149" i="27"/>
  <c r="AR149" i="27"/>
  <c r="AQ149" i="27"/>
  <c r="AP149" i="27"/>
  <c r="AM149" i="27"/>
  <c r="AL149" i="27"/>
  <c r="AK149" i="27"/>
  <c r="AJ149" i="27"/>
  <c r="AI149" i="27"/>
  <c r="AG149" i="27"/>
  <c r="AF149" i="27"/>
  <c r="AE149" i="27"/>
  <c r="AD149" i="27"/>
  <c r="AC149" i="27"/>
  <c r="AB149" i="27"/>
  <c r="P149" i="27"/>
  <c r="AN149" i="27" s="1"/>
  <c r="J149" i="27"/>
  <c r="AX148" i="27"/>
  <c r="AW148" i="27"/>
  <c r="AV148" i="27"/>
  <c r="AT148" i="27"/>
  <c r="AS148" i="27"/>
  <c r="AR148" i="27"/>
  <c r="AQ148" i="27"/>
  <c r="AP148" i="27"/>
  <c r="AN148" i="27"/>
  <c r="AM148" i="27"/>
  <c r="AL148" i="27"/>
  <c r="AK148" i="27"/>
  <c r="AJ148" i="27"/>
  <c r="AI148" i="27"/>
  <c r="AH148" i="27"/>
  <c r="AG148" i="27"/>
  <c r="AF148" i="27"/>
  <c r="AE148" i="27"/>
  <c r="AD148" i="27"/>
  <c r="AC148" i="27"/>
  <c r="AB148" i="27"/>
  <c r="W148" i="27"/>
  <c r="AU148" i="27" s="1"/>
  <c r="Q148" i="27"/>
  <c r="AO148" i="27" s="1"/>
  <c r="P148" i="27"/>
  <c r="J148" i="27"/>
  <c r="AX147" i="27"/>
  <c r="AW147" i="27"/>
  <c r="AV147" i="27"/>
  <c r="AT147" i="27"/>
  <c r="AS147" i="27"/>
  <c r="AR147" i="27"/>
  <c r="AQ147" i="27"/>
  <c r="AP147" i="27"/>
  <c r="AM147" i="27"/>
  <c r="AL147" i="27"/>
  <c r="AK147" i="27"/>
  <c r="AJ147" i="27"/>
  <c r="AI147" i="27"/>
  <c r="AG147" i="27"/>
  <c r="AF147" i="27"/>
  <c r="AE147" i="27"/>
  <c r="AD147" i="27"/>
  <c r="AC147" i="27"/>
  <c r="AB147" i="27"/>
  <c r="P147" i="27"/>
  <c r="AN147" i="27" s="1"/>
  <c r="J147" i="27"/>
  <c r="Q147" i="27" s="1"/>
  <c r="AX146" i="27"/>
  <c r="AW146" i="27"/>
  <c r="AV146" i="27"/>
  <c r="AT146" i="27"/>
  <c r="AS146" i="27"/>
  <c r="AR146" i="27"/>
  <c r="AQ146" i="27"/>
  <c r="AP146" i="27"/>
  <c r="AN146" i="27"/>
  <c r="AM146" i="27"/>
  <c r="AL146" i="27"/>
  <c r="AK146" i="27"/>
  <c r="AJ146" i="27"/>
  <c r="AI146" i="27"/>
  <c r="AH146" i="27"/>
  <c r="AG146" i="27"/>
  <c r="AF146" i="27"/>
  <c r="AE146" i="27"/>
  <c r="AD146" i="27"/>
  <c r="AC146" i="27"/>
  <c r="AB146" i="27"/>
  <c r="Q146" i="27"/>
  <c r="AO146" i="27" s="1"/>
  <c r="P146" i="27"/>
  <c r="J146" i="27"/>
  <c r="AX145" i="27"/>
  <c r="AW145" i="27"/>
  <c r="AV145" i="27"/>
  <c r="AT145" i="27"/>
  <c r="AS145" i="27"/>
  <c r="AR145" i="27"/>
  <c r="AQ145" i="27"/>
  <c r="AP145" i="27"/>
  <c r="AM145" i="27"/>
  <c r="AL145" i="27"/>
  <c r="AK145" i="27"/>
  <c r="AJ145" i="27"/>
  <c r="AI145" i="27"/>
  <c r="AG145" i="27"/>
  <c r="AF145" i="27"/>
  <c r="AE145" i="27"/>
  <c r="AD145" i="27"/>
  <c r="AC145" i="27"/>
  <c r="AB145" i="27"/>
  <c r="P145" i="27"/>
  <c r="AN145" i="27" s="1"/>
  <c r="J145" i="27"/>
  <c r="AX144" i="27"/>
  <c r="AW144" i="27"/>
  <c r="AV144" i="27"/>
  <c r="AT144" i="27"/>
  <c r="AS144" i="27"/>
  <c r="AR144" i="27"/>
  <c r="AQ144" i="27"/>
  <c r="AP144" i="27"/>
  <c r="AN144" i="27"/>
  <c r="AM144" i="27"/>
  <c r="AL144" i="27"/>
  <c r="AK144" i="27"/>
  <c r="AJ144" i="27"/>
  <c r="AI144" i="27"/>
  <c r="AH144" i="27"/>
  <c r="AG144" i="27"/>
  <c r="AF144" i="27"/>
  <c r="AE144" i="27"/>
  <c r="AD144" i="27"/>
  <c r="AC144" i="27"/>
  <c r="AB144" i="27"/>
  <c r="W144" i="27"/>
  <c r="AU144" i="27" s="1"/>
  <c r="Q144" i="27"/>
  <c r="AO144" i="27" s="1"/>
  <c r="P144" i="27"/>
  <c r="J144" i="27"/>
  <c r="AX143" i="27"/>
  <c r="AW143" i="27"/>
  <c r="AV143" i="27"/>
  <c r="AT143" i="27"/>
  <c r="AS143" i="27"/>
  <c r="AR143" i="27"/>
  <c r="AQ143" i="27"/>
  <c r="AP143" i="27"/>
  <c r="AM143" i="27"/>
  <c r="AL143" i="27"/>
  <c r="AK143" i="27"/>
  <c r="AJ143" i="27"/>
  <c r="AI143" i="27"/>
  <c r="AG143" i="27"/>
  <c r="AF143" i="27"/>
  <c r="AE143" i="27"/>
  <c r="AD143" i="27"/>
  <c r="AC143" i="27"/>
  <c r="AB143" i="27"/>
  <c r="P143" i="27"/>
  <c r="AN143" i="27" s="1"/>
  <c r="J143" i="27"/>
  <c r="Q143" i="27" s="1"/>
  <c r="AX142" i="27"/>
  <c r="AW142" i="27"/>
  <c r="AV142" i="27"/>
  <c r="AT142" i="27"/>
  <c r="AS142" i="27"/>
  <c r="AR142" i="27"/>
  <c r="AQ142" i="27"/>
  <c r="AP142" i="27"/>
  <c r="AN142" i="27"/>
  <c r="AM142" i="27"/>
  <c r="AL142" i="27"/>
  <c r="AK142" i="27"/>
  <c r="AJ142" i="27"/>
  <c r="AI142" i="27"/>
  <c r="AH142" i="27"/>
  <c r="AG142" i="27"/>
  <c r="AF142" i="27"/>
  <c r="AE142" i="27"/>
  <c r="AD142" i="27"/>
  <c r="AC142" i="27"/>
  <c r="AB142" i="27"/>
  <c r="Q142" i="27"/>
  <c r="AO142" i="27" s="1"/>
  <c r="P142" i="27"/>
  <c r="J142" i="27"/>
  <c r="AX141" i="27"/>
  <c r="AW141" i="27"/>
  <c r="AV141" i="27"/>
  <c r="AT141" i="27"/>
  <c r="AS141" i="27"/>
  <c r="AR141" i="27"/>
  <c r="AQ141" i="27"/>
  <c r="AP141" i="27"/>
  <c r="AM141" i="27"/>
  <c r="AL141" i="27"/>
  <c r="AK141" i="27"/>
  <c r="AJ141" i="27"/>
  <c r="AI141" i="27"/>
  <c r="AG141" i="27"/>
  <c r="AF141" i="27"/>
  <c r="AE141" i="27"/>
  <c r="AD141" i="27"/>
  <c r="AC141" i="27"/>
  <c r="AB141" i="27"/>
  <c r="P141" i="27"/>
  <c r="AN141" i="27" s="1"/>
  <c r="J141" i="27"/>
  <c r="AX140" i="27"/>
  <c r="AW140" i="27"/>
  <c r="AV140" i="27"/>
  <c r="AT140" i="27"/>
  <c r="AS140" i="27"/>
  <c r="AR140" i="27"/>
  <c r="AQ140" i="27"/>
  <c r="AP140" i="27"/>
  <c r="AN140" i="27"/>
  <c r="AM140" i="27"/>
  <c r="AL140" i="27"/>
  <c r="AK140" i="27"/>
  <c r="AJ140" i="27"/>
  <c r="AI140" i="27"/>
  <c r="AH140" i="27"/>
  <c r="AG140" i="27"/>
  <c r="AF140" i="27"/>
  <c r="AE140" i="27"/>
  <c r="AD140" i="27"/>
  <c r="AC140" i="27"/>
  <c r="AB140" i="27"/>
  <c r="W140" i="27"/>
  <c r="AU140" i="27" s="1"/>
  <c r="Q140" i="27"/>
  <c r="AO140" i="27" s="1"/>
  <c r="P140" i="27"/>
  <c r="J140" i="27"/>
  <c r="AX139" i="27"/>
  <c r="AW139" i="27"/>
  <c r="AV139" i="27"/>
  <c r="AT139" i="27"/>
  <c r="AS139" i="27"/>
  <c r="AR139" i="27"/>
  <c r="AQ139" i="27"/>
  <c r="AP139" i="27"/>
  <c r="AM139" i="27"/>
  <c r="AL139" i="27"/>
  <c r="AK139" i="27"/>
  <c r="AJ139" i="27"/>
  <c r="AI139" i="27"/>
  <c r="AG139" i="27"/>
  <c r="AF139" i="27"/>
  <c r="AE139" i="27"/>
  <c r="AD139" i="27"/>
  <c r="AC139" i="27"/>
  <c r="AB139" i="27"/>
  <c r="P139" i="27"/>
  <c r="AN139" i="27" s="1"/>
  <c r="J139" i="27"/>
  <c r="Q139" i="27" s="1"/>
  <c r="AX138" i="27"/>
  <c r="AW138" i="27"/>
  <c r="AV138" i="27"/>
  <c r="AT138" i="27"/>
  <c r="AS138" i="27"/>
  <c r="AR138" i="27"/>
  <c r="AQ138" i="27"/>
  <c r="AP138" i="27"/>
  <c r="AM138" i="27"/>
  <c r="AL138" i="27"/>
  <c r="AK138" i="27"/>
  <c r="AJ138" i="27"/>
  <c r="AI138" i="27"/>
  <c r="AH138" i="27"/>
  <c r="AG138" i="27"/>
  <c r="AF138" i="27"/>
  <c r="AE138" i="27"/>
  <c r="AC138" i="27"/>
  <c r="AB138" i="27"/>
  <c r="J138" i="27"/>
  <c r="F138" i="27"/>
  <c r="AD138" i="27" s="1"/>
  <c r="AX137" i="27"/>
  <c r="AW137" i="27"/>
  <c r="AV137" i="27"/>
  <c r="AT137" i="27"/>
  <c r="AS137" i="27"/>
  <c r="AR137" i="27"/>
  <c r="AQ137" i="27"/>
  <c r="AP137" i="27"/>
  <c r="AM137" i="27"/>
  <c r="AL137" i="27"/>
  <c r="AK137" i="27"/>
  <c r="AJ137" i="27"/>
  <c r="AI137" i="27"/>
  <c r="AG137" i="27"/>
  <c r="AF137" i="27"/>
  <c r="AE137" i="27"/>
  <c r="AD137" i="27"/>
  <c r="AC137" i="27"/>
  <c r="AB137" i="27"/>
  <c r="P137" i="27"/>
  <c r="J137" i="27"/>
  <c r="AH137" i="27" s="1"/>
  <c r="F137" i="27"/>
  <c r="AX136" i="27"/>
  <c r="AW136" i="27"/>
  <c r="AV136" i="27"/>
  <c r="AT136" i="27"/>
  <c r="AS136" i="27"/>
  <c r="AR136" i="27"/>
  <c r="AQ136" i="27"/>
  <c r="AP136" i="27"/>
  <c r="AO136" i="27"/>
  <c r="AM136" i="27"/>
  <c r="AL136" i="27"/>
  <c r="AK136" i="27"/>
  <c r="AJ136" i="27"/>
  <c r="AI136" i="27"/>
  <c r="AH136" i="27"/>
  <c r="AG136" i="27"/>
  <c r="AF136" i="27"/>
  <c r="AE136" i="27"/>
  <c r="AC136" i="27"/>
  <c r="AB136" i="27"/>
  <c r="P136" i="27"/>
  <c r="AN136" i="27" s="1"/>
  <c r="J136" i="27"/>
  <c r="Q136" i="27" s="1"/>
  <c r="W136" i="27" s="1"/>
  <c r="AU136" i="27" s="1"/>
  <c r="F136" i="27"/>
  <c r="AD136" i="27" s="1"/>
  <c r="AX135" i="27"/>
  <c r="AW135" i="27"/>
  <c r="AV135" i="27"/>
  <c r="AT135" i="27"/>
  <c r="AS135" i="27"/>
  <c r="AR135" i="27"/>
  <c r="AQ135" i="27"/>
  <c r="AP135" i="27"/>
  <c r="AN135" i="27"/>
  <c r="AM135" i="27"/>
  <c r="AL135" i="27"/>
  <c r="AK135" i="27"/>
  <c r="AJ135" i="27"/>
  <c r="AI135" i="27"/>
  <c r="AH135" i="27"/>
  <c r="AG135" i="27"/>
  <c r="AF135" i="27"/>
  <c r="AE135" i="27"/>
  <c r="AC135" i="27"/>
  <c r="AB135" i="27"/>
  <c r="Q135" i="27"/>
  <c r="AO135" i="27" s="1"/>
  <c r="P135" i="27"/>
  <c r="J135" i="27"/>
  <c r="F135" i="27"/>
  <c r="AD135" i="27" s="1"/>
  <c r="AX134" i="27"/>
  <c r="AW134" i="27"/>
  <c r="AV134" i="27"/>
  <c r="AT134" i="27"/>
  <c r="AS134" i="27"/>
  <c r="AR134" i="27"/>
  <c r="AQ134" i="27"/>
  <c r="AP134" i="27"/>
  <c r="AM134" i="27"/>
  <c r="AL134" i="27"/>
  <c r="AK134" i="27"/>
  <c r="AJ134" i="27"/>
  <c r="AI134" i="27"/>
  <c r="AG134" i="27"/>
  <c r="AF134" i="27"/>
  <c r="AE134" i="27"/>
  <c r="AD134" i="27"/>
  <c r="AC134" i="27"/>
  <c r="AB134" i="27"/>
  <c r="P134" i="27"/>
  <c r="J134" i="27"/>
  <c r="AH134" i="27" s="1"/>
  <c r="AX133" i="27"/>
  <c r="AW133" i="27"/>
  <c r="AV133" i="27"/>
  <c r="AT133" i="27"/>
  <c r="AS133" i="27"/>
  <c r="AR133" i="27"/>
  <c r="AQ133" i="27"/>
  <c r="AP133" i="27"/>
  <c r="AM133" i="27"/>
  <c r="AL133" i="27"/>
  <c r="AK133" i="27"/>
  <c r="AJ133" i="27"/>
  <c r="AI133" i="27"/>
  <c r="AG133" i="27"/>
  <c r="AF133" i="27"/>
  <c r="AE133" i="27"/>
  <c r="AC133" i="27"/>
  <c r="AB133" i="27"/>
  <c r="J133" i="27"/>
  <c r="Q133" i="27" s="1"/>
  <c r="F133" i="27"/>
  <c r="P133" i="27" s="1"/>
  <c r="AN133" i="27" s="1"/>
  <c r="AX132" i="27"/>
  <c r="AW132" i="27"/>
  <c r="AV132" i="27"/>
  <c r="AT132" i="27"/>
  <c r="AS132" i="27"/>
  <c r="AR132" i="27"/>
  <c r="AQ132" i="27"/>
  <c r="AP132" i="27"/>
  <c r="AM132" i="27"/>
  <c r="AL132" i="27"/>
  <c r="AK132" i="27"/>
  <c r="AJ132" i="27"/>
  <c r="AI132" i="27"/>
  <c r="AG132" i="27"/>
  <c r="AF132" i="27"/>
  <c r="AE132" i="27"/>
  <c r="AC132" i="27"/>
  <c r="AB132" i="27"/>
  <c r="P132" i="27"/>
  <c r="AN132" i="27" s="1"/>
  <c r="J132" i="27"/>
  <c r="AH132" i="27" s="1"/>
  <c r="F132" i="27"/>
  <c r="AD132" i="27" s="1"/>
  <c r="AX131" i="27"/>
  <c r="AW131" i="27"/>
  <c r="AV131" i="27"/>
  <c r="AT131" i="27"/>
  <c r="AS131" i="27"/>
  <c r="AR131" i="27"/>
  <c r="AQ131" i="27"/>
  <c r="AP131" i="27"/>
  <c r="AM131" i="27"/>
  <c r="AL131" i="27"/>
  <c r="AK131" i="27"/>
  <c r="AJ131" i="27"/>
  <c r="AI131" i="27"/>
  <c r="AG131" i="27"/>
  <c r="AF131" i="27"/>
  <c r="AE131" i="27"/>
  <c r="AD131" i="27"/>
  <c r="AC131" i="27"/>
  <c r="AB131" i="27"/>
  <c r="P131" i="27"/>
  <c r="AN131" i="27" s="1"/>
  <c r="J131" i="27"/>
  <c r="F131" i="27"/>
  <c r="AX130" i="27"/>
  <c r="AW130" i="27"/>
  <c r="AV130" i="27"/>
  <c r="AT130" i="27"/>
  <c r="AS130" i="27"/>
  <c r="AR130" i="27"/>
  <c r="AQ130" i="27"/>
  <c r="AP130" i="27"/>
  <c r="AM130" i="27"/>
  <c r="AL130" i="27"/>
  <c r="AK130" i="27"/>
  <c r="AJ130" i="27"/>
  <c r="AI130" i="27"/>
  <c r="AG130" i="27"/>
  <c r="AF130" i="27"/>
  <c r="AE130" i="27"/>
  <c r="AC130" i="27"/>
  <c r="AB130" i="27"/>
  <c r="J130" i="27"/>
  <c r="F130" i="27"/>
  <c r="P130" i="27" s="1"/>
  <c r="AN130" i="27" s="1"/>
  <c r="AX129" i="27"/>
  <c r="AW129" i="27"/>
  <c r="AV129" i="27"/>
  <c r="AT129" i="27"/>
  <c r="AS129" i="27"/>
  <c r="AR129" i="27"/>
  <c r="AQ129" i="27"/>
  <c r="AP129" i="27"/>
  <c r="AM129" i="27"/>
  <c r="AL129" i="27"/>
  <c r="AK129" i="27"/>
  <c r="AJ129" i="27"/>
  <c r="AI129" i="27"/>
  <c r="AG129" i="27"/>
  <c r="AF129" i="27"/>
  <c r="AE129" i="27"/>
  <c r="AD129" i="27"/>
  <c r="AC129" i="27"/>
  <c r="AB129" i="27"/>
  <c r="P129" i="27"/>
  <c r="AN129" i="27" s="1"/>
  <c r="J129" i="27"/>
  <c r="AH129" i="27" s="1"/>
  <c r="AX128" i="27"/>
  <c r="AW128" i="27"/>
  <c r="AV128" i="27"/>
  <c r="AT128" i="27"/>
  <c r="AS128" i="27"/>
  <c r="AR128" i="27"/>
  <c r="AQ128" i="27"/>
  <c r="AP128" i="27"/>
  <c r="AN128" i="27"/>
  <c r="AM128" i="27"/>
  <c r="AL128" i="27"/>
  <c r="AK128" i="27"/>
  <c r="AJ128" i="27"/>
  <c r="AI128" i="27"/>
  <c r="AG128" i="27"/>
  <c r="AF128" i="27"/>
  <c r="AE128" i="27"/>
  <c r="AD128" i="27"/>
  <c r="AC128" i="27"/>
  <c r="AB128" i="27"/>
  <c r="P128" i="27"/>
  <c r="J128" i="27"/>
  <c r="AH128" i="27" s="1"/>
  <c r="AX127" i="27"/>
  <c r="AW127" i="27"/>
  <c r="AV127" i="27"/>
  <c r="AT127" i="27"/>
  <c r="AS127" i="27"/>
  <c r="AR127" i="27"/>
  <c r="AQ127" i="27"/>
  <c r="AP127" i="27"/>
  <c r="AM127" i="27"/>
  <c r="AL127" i="27"/>
  <c r="AK127" i="27"/>
  <c r="AJ127" i="27"/>
  <c r="AI127" i="27"/>
  <c r="AH127" i="27"/>
  <c r="AG127" i="27"/>
  <c r="AF127" i="27"/>
  <c r="AE127" i="27"/>
  <c r="AD127" i="27"/>
  <c r="AC127" i="27"/>
  <c r="AB127" i="27"/>
  <c r="Q127" i="27"/>
  <c r="P127" i="27"/>
  <c r="AN127" i="27" s="1"/>
  <c r="J127" i="27"/>
  <c r="AX126" i="27"/>
  <c r="AW126" i="27"/>
  <c r="AV126" i="27"/>
  <c r="AT126" i="27"/>
  <c r="AS126" i="27"/>
  <c r="AR126" i="27"/>
  <c r="AQ126" i="27"/>
  <c r="AP126" i="27"/>
  <c r="AM126" i="27"/>
  <c r="AL126" i="27"/>
  <c r="AK126" i="27"/>
  <c r="AJ126" i="27"/>
  <c r="AI126" i="27"/>
  <c r="AH126" i="27"/>
  <c r="AG126" i="27"/>
  <c r="AF126" i="27"/>
  <c r="AE126" i="27"/>
  <c r="AD126" i="27"/>
  <c r="AC126" i="27"/>
  <c r="AB126" i="27"/>
  <c r="P126" i="27"/>
  <c r="AN126" i="27" s="1"/>
  <c r="J126" i="27"/>
  <c r="Q126" i="27" s="1"/>
  <c r="W126" i="27" s="1"/>
  <c r="AU126" i="27" s="1"/>
  <c r="AX125" i="27"/>
  <c r="AW125" i="27"/>
  <c r="AV125" i="27"/>
  <c r="AT125" i="27"/>
  <c r="AS125" i="27"/>
  <c r="AR125" i="27"/>
  <c r="AQ125" i="27"/>
  <c r="AP125" i="27"/>
  <c r="AM125" i="27"/>
  <c r="AL125" i="27"/>
  <c r="AK125" i="27"/>
  <c r="AJ125" i="27"/>
  <c r="AI125" i="27"/>
  <c r="AG125" i="27"/>
  <c r="AF125" i="27"/>
  <c r="AE125" i="27"/>
  <c r="AC125" i="27"/>
  <c r="AB125" i="27"/>
  <c r="P125" i="27"/>
  <c r="AN125" i="27" s="1"/>
  <c r="J125" i="27"/>
  <c r="AH125" i="27" s="1"/>
  <c r="F125" i="27"/>
  <c r="AD125" i="27" s="1"/>
  <c r="AX124" i="27"/>
  <c r="AW124" i="27"/>
  <c r="AV124" i="27"/>
  <c r="AT124" i="27"/>
  <c r="AS124" i="27"/>
  <c r="AR124" i="27"/>
  <c r="AQ124" i="27"/>
  <c r="AP124" i="27"/>
  <c r="AM124" i="27"/>
  <c r="AL124" i="27"/>
  <c r="AK124" i="27"/>
  <c r="AJ124" i="27"/>
  <c r="AI124" i="27"/>
  <c r="AG124" i="27"/>
  <c r="AF124" i="27"/>
  <c r="AE124" i="27"/>
  <c r="AD124" i="27"/>
  <c r="AC124" i="27"/>
  <c r="AB124" i="27"/>
  <c r="P124" i="27"/>
  <c r="AN124" i="27" s="1"/>
  <c r="J124" i="27"/>
  <c r="AX123" i="27"/>
  <c r="AW123" i="27"/>
  <c r="AV123" i="27"/>
  <c r="AT123" i="27"/>
  <c r="AS123" i="27"/>
  <c r="AR123" i="27"/>
  <c r="AQ123" i="27"/>
  <c r="AP123" i="27"/>
  <c r="AN123" i="27"/>
  <c r="AM123" i="27"/>
  <c r="AL123" i="27"/>
  <c r="AK123" i="27"/>
  <c r="AJ123" i="27"/>
  <c r="AI123" i="27"/>
  <c r="AH123" i="27"/>
  <c r="AG123" i="27"/>
  <c r="AF123" i="27"/>
  <c r="AE123" i="27"/>
  <c r="AD123" i="27"/>
  <c r="AC123" i="27"/>
  <c r="AB123" i="27"/>
  <c r="W123" i="27"/>
  <c r="AU123" i="27" s="1"/>
  <c r="Q123" i="27"/>
  <c r="AO123" i="27" s="1"/>
  <c r="P123" i="27"/>
  <c r="J123" i="27"/>
  <c r="AX122" i="27"/>
  <c r="AW122" i="27"/>
  <c r="AV122" i="27"/>
  <c r="AT122" i="27"/>
  <c r="AS122" i="27"/>
  <c r="AR122" i="27"/>
  <c r="AQ122" i="27"/>
  <c r="AP122" i="27"/>
  <c r="AM122" i="27"/>
  <c r="AL122" i="27"/>
  <c r="AK122" i="27"/>
  <c r="AJ122" i="27"/>
  <c r="AI122" i="27"/>
  <c r="AG122" i="27"/>
  <c r="AF122" i="27"/>
  <c r="AE122" i="27"/>
  <c r="AD122" i="27"/>
  <c r="AC122" i="27"/>
  <c r="AB122" i="27"/>
  <c r="P122" i="27"/>
  <c r="AN122" i="27" s="1"/>
  <c r="J122" i="27"/>
  <c r="Q122" i="27" s="1"/>
  <c r="AX121" i="27"/>
  <c r="AW121" i="27"/>
  <c r="AV121" i="27"/>
  <c r="AT121" i="27"/>
  <c r="AS121" i="27"/>
  <c r="AR121" i="27"/>
  <c r="AQ121" i="27"/>
  <c r="AP121" i="27"/>
  <c r="AM121" i="27"/>
  <c r="AL121" i="27"/>
  <c r="AK121" i="27"/>
  <c r="AJ121" i="27"/>
  <c r="AI121" i="27"/>
  <c r="AH121" i="27"/>
  <c r="AG121" i="27"/>
  <c r="AF121" i="27"/>
  <c r="AE121" i="27"/>
  <c r="AC121" i="27"/>
  <c r="AB121" i="27"/>
  <c r="J121" i="27"/>
  <c r="F121" i="27"/>
  <c r="AD121" i="27" s="1"/>
  <c r="AX120" i="27"/>
  <c r="AW120" i="27"/>
  <c r="AV120" i="27"/>
  <c r="AT120" i="27"/>
  <c r="AS120" i="27"/>
  <c r="AR120" i="27"/>
  <c r="AQ120" i="27"/>
  <c r="AP120" i="27"/>
  <c r="AM120" i="27"/>
  <c r="AL120" i="27"/>
  <c r="AK120" i="27"/>
  <c r="AJ120" i="27"/>
  <c r="AI120" i="27"/>
  <c r="AG120" i="27"/>
  <c r="AF120" i="27"/>
  <c r="AE120" i="27"/>
  <c r="AD120" i="27"/>
  <c r="AC120" i="27"/>
  <c r="AB120" i="27"/>
  <c r="P120" i="27"/>
  <c r="J120" i="27"/>
  <c r="AH120" i="27" s="1"/>
  <c r="F120" i="27"/>
  <c r="AX119" i="27"/>
  <c r="AW119" i="27"/>
  <c r="AV119" i="27"/>
  <c r="AT119" i="27"/>
  <c r="AS119" i="27"/>
  <c r="AR119" i="27"/>
  <c r="AQ119" i="27"/>
  <c r="AP119" i="27"/>
  <c r="AM119" i="27"/>
  <c r="AL119" i="27"/>
  <c r="AK119" i="27"/>
  <c r="AJ119" i="27"/>
  <c r="AI119" i="27"/>
  <c r="AH119" i="27"/>
  <c r="AG119" i="27"/>
  <c r="AF119" i="27"/>
  <c r="AE119" i="27"/>
  <c r="AC119" i="27"/>
  <c r="AB119" i="27"/>
  <c r="P119" i="27"/>
  <c r="AN119" i="27" s="1"/>
  <c r="J119" i="27"/>
  <c r="Q119" i="27" s="1"/>
  <c r="W119" i="27" s="1"/>
  <c r="AU119" i="27" s="1"/>
  <c r="F119" i="27"/>
  <c r="AD119" i="27" s="1"/>
  <c r="AX118" i="27"/>
  <c r="AW118" i="27"/>
  <c r="AV118" i="27"/>
  <c r="AT118" i="27"/>
  <c r="AS118" i="27"/>
  <c r="AR118" i="27"/>
  <c r="AQ118" i="27"/>
  <c r="AP118" i="27"/>
  <c r="AM118" i="27"/>
  <c r="AL118" i="27"/>
  <c r="AK118" i="27"/>
  <c r="AJ118" i="27"/>
  <c r="AI118" i="27"/>
  <c r="AH118" i="27"/>
  <c r="AG118" i="27"/>
  <c r="AF118" i="27"/>
  <c r="AE118" i="27"/>
  <c r="AD118" i="27"/>
  <c r="AC118" i="27"/>
  <c r="AB118" i="27"/>
  <c r="J118" i="27"/>
  <c r="F118" i="27"/>
  <c r="P118" i="27" s="1"/>
  <c r="AX117" i="27"/>
  <c r="AW117" i="27"/>
  <c r="AV117" i="27"/>
  <c r="AT117" i="27"/>
  <c r="AS117" i="27"/>
  <c r="AR117" i="27"/>
  <c r="AQ117" i="27"/>
  <c r="AP117" i="27"/>
  <c r="AM117" i="27"/>
  <c r="AL117" i="27"/>
  <c r="AK117" i="27"/>
  <c r="AJ117" i="27"/>
  <c r="AI117" i="27"/>
  <c r="AG117" i="27"/>
  <c r="AF117" i="27"/>
  <c r="AE117" i="27"/>
  <c r="AD117" i="27"/>
  <c r="AC117" i="27"/>
  <c r="AB117" i="27"/>
  <c r="P117" i="27"/>
  <c r="J117" i="27"/>
  <c r="AH117" i="27" s="1"/>
  <c r="AX116" i="27"/>
  <c r="AW116" i="27"/>
  <c r="AV116" i="27"/>
  <c r="AT116" i="27"/>
  <c r="AS116" i="27"/>
  <c r="AR116" i="27"/>
  <c r="AQ116" i="27"/>
  <c r="AP116" i="27"/>
  <c r="AN116" i="27"/>
  <c r="AM116" i="27"/>
  <c r="AL116" i="27"/>
  <c r="AK116" i="27"/>
  <c r="AJ116" i="27"/>
  <c r="AI116" i="27"/>
  <c r="AG116" i="27"/>
  <c r="AF116" i="27"/>
  <c r="AE116" i="27"/>
  <c r="AD116" i="27"/>
  <c r="AC116" i="27"/>
  <c r="AB116" i="27"/>
  <c r="P116" i="27"/>
  <c r="J116" i="27"/>
  <c r="Q116" i="27" s="1"/>
  <c r="AX115" i="27"/>
  <c r="AW115" i="27"/>
  <c r="AV115" i="27"/>
  <c r="AT115" i="27"/>
  <c r="AS115" i="27"/>
  <c r="AR115" i="27"/>
  <c r="AQ115" i="27"/>
  <c r="AP115" i="27"/>
  <c r="AM115" i="27"/>
  <c r="AL115" i="27"/>
  <c r="AK115" i="27"/>
  <c r="AJ115" i="27"/>
  <c r="AI115" i="27"/>
  <c r="AG115" i="27"/>
  <c r="AF115" i="27"/>
  <c r="AE115" i="27"/>
  <c r="AD115" i="27"/>
  <c r="AC115" i="27"/>
  <c r="AB115" i="27"/>
  <c r="P115" i="27"/>
  <c r="AN115" i="27" s="1"/>
  <c r="J115" i="27"/>
  <c r="Q115" i="27" s="1"/>
  <c r="AX114" i="27"/>
  <c r="AW114" i="27"/>
  <c r="AV114" i="27"/>
  <c r="AT114" i="27"/>
  <c r="AS114" i="27"/>
  <c r="AR114" i="27"/>
  <c r="AQ114" i="27"/>
  <c r="AP114" i="27"/>
  <c r="AN114" i="27"/>
  <c r="AM114" i="27"/>
  <c r="AL114" i="27"/>
  <c r="AK114" i="27"/>
  <c r="AJ114" i="27"/>
  <c r="AI114" i="27"/>
  <c r="AH114" i="27"/>
  <c r="AG114" i="27"/>
  <c r="AF114" i="27"/>
  <c r="AE114" i="27"/>
  <c r="AD114" i="27"/>
  <c r="AC114" i="27"/>
  <c r="AB114" i="27"/>
  <c r="P114" i="27"/>
  <c r="J114" i="27"/>
  <c r="Q114" i="27" s="1"/>
  <c r="AX113" i="27"/>
  <c r="AW113" i="27"/>
  <c r="AV113" i="27"/>
  <c r="AT113" i="27"/>
  <c r="AS113" i="27"/>
  <c r="AR113" i="27"/>
  <c r="AQ113" i="27"/>
  <c r="AP113" i="27"/>
  <c r="AM113" i="27"/>
  <c r="AL113" i="27"/>
  <c r="AK113" i="27"/>
  <c r="AJ113" i="27"/>
  <c r="AI113" i="27"/>
  <c r="AG113" i="27"/>
  <c r="AF113" i="27"/>
  <c r="AE113" i="27"/>
  <c r="AD113" i="27"/>
  <c r="AC113" i="27"/>
  <c r="AB113" i="27"/>
  <c r="P113" i="27"/>
  <c r="J113" i="27"/>
  <c r="AH113" i="27" s="1"/>
  <c r="AX112" i="27"/>
  <c r="AW112" i="27"/>
  <c r="AV112" i="27"/>
  <c r="AT112" i="27"/>
  <c r="AS112" i="27"/>
  <c r="AR112" i="27"/>
  <c r="AQ112" i="27"/>
  <c r="AP112" i="27"/>
  <c r="AN112" i="27"/>
  <c r="AM112" i="27"/>
  <c r="AL112" i="27"/>
  <c r="AK112" i="27"/>
  <c r="AJ112" i="27"/>
  <c r="AI112" i="27"/>
  <c r="AG112" i="27"/>
  <c r="AF112" i="27"/>
  <c r="AE112" i="27"/>
  <c r="AD112" i="27"/>
  <c r="AC112" i="27"/>
  <c r="AB112" i="27"/>
  <c r="P112" i="27"/>
  <c r="J112" i="27"/>
  <c r="Q112" i="27" s="1"/>
  <c r="AX111" i="27"/>
  <c r="AW111" i="27"/>
  <c r="AV111" i="27"/>
  <c r="AT111" i="27"/>
  <c r="AS111" i="27"/>
  <c r="AR111" i="27"/>
  <c r="AQ111" i="27"/>
  <c r="AP111" i="27"/>
  <c r="AM111" i="27"/>
  <c r="AL111" i="27"/>
  <c r="AK111" i="27"/>
  <c r="AJ111" i="27"/>
  <c r="AI111" i="27"/>
  <c r="AG111" i="27"/>
  <c r="AF111" i="27"/>
  <c r="AE111" i="27"/>
  <c r="AD111" i="27"/>
  <c r="AC111" i="27"/>
  <c r="AB111" i="27"/>
  <c r="P111" i="27"/>
  <c r="AN111" i="27" s="1"/>
  <c r="J111" i="27"/>
  <c r="Q111" i="27" s="1"/>
  <c r="AX110" i="27"/>
  <c r="AW110" i="27"/>
  <c r="AV110" i="27"/>
  <c r="AT110" i="27"/>
  <c r="AS110" i="27"/>
  <c r="AR110" i="27"/>
  <c r="AQ110" i="27"/>
  <c r="AP110" i="27"/>
  <c r="AN110" i="27"/>
  <c r="AM110" i="27"/>
  <c r="AL110" i="27"/>
  <c r="AK110" i="27"/>
  <c r="AJ110" i="27"/>
  <c r="AI110" i="27"/>
  <c r="AH110" i="27"/>
  <c r="AG110" i="27"/>
  <c r="AF110" i="27"/>
  <c r="AE110" i="27"/>
  <c r="AD110" i="27"/>
  <c r="AC110" i="27"/>
  <c r="AB110" i="27"/>
  <c r="P110" i="27"/>
  <c r="J110" i="27"/>
  <c r="Q110" i="27" s="1"/>
  <c r="AX109" i="27"/>
  <c r="AW109" i="27"/>
  <c r="AV109" i="27"/>
  <c r="AT109" i="27"/>
  <c r="AS109" i="27"/>
  <c r="AR109" i="27"/>
  <c r="AQ109" i="27"/>
  <c r="AP109" i="27"/>
  <c r="AM109" i="27"/>
  <c r="AL109" i="27"/>
  <c r="AK109" i="27"/>
  <c r="AJ109" i="27"/>
  <c r="AI109" i="27"/>
  <c r="AG109" i="27"/>
  <c r="AF109" i="27"/>
  <c r="AE109" i="27"/>
  <c r="AD109" i="27"/>
  <c r="AC109" i="27"/>
  <c r="AB109" i="27"/>
  <c r="P109" i="27"/>
  <c r="J109" i="27"/>
  <c r="AH109" i="27" s="1"/>
  <c r="AX108" i="27"/>
  <c r="AW108" i="27"/>
  <c r="AV108" i="27"/>
  <c r="AT108" i="27"/>
  <c r="AS108" i="27"/>
  <c r="AR108" i="27"/>
  <c r="AQ108" i="27"/>
  <c r="AP108" i="27"/>
  <c r="AN108" i="27"/>
  <c r="AM108" i="27"/>
  <c r="AL108" i="27"/>
  <c r="AK108" i="27"/>
  <c r="AJ108" i="27"/>
  <c r="AI108" i="27"/>
  <c r="AG108" i="27"/>
  <c r="AF108" i="27"/>
  <c r="AE108" i="27"/>
  <c r="AD108" i="27"/>
  <c r="AC108" i="27"/>
  <c r="AB108" i="27"/>
  <c r="P108" i="27"/>
  <c r="J108" i="27"/>
  <c r="Q108" i="27" s="1"/>
  <c r="AX107" i="27"/>
  <c r="AW107" i="27"/>
  <c r="AV107" i="27"/>
  <c r="AT107" i="27"/>
  <c r="AS107" i="27"/>
  <c r="AR107" i="27"/>
  <c r="AQ107" i="27"/>
  <c r="AP107" i="27"/>
  <c r="AM107" i="27"/>
  <c r="AL107" i="27"/>
  <c r="AK107" i="27"/>
  <c r="AJ107" i="27"/>
  <c r="AI107" i="27"/>
  <c r="AG107" i="27"/>
  <c r="AF107" i="27"/>
  <c r="AE107" i="27"/>
  <c r="AD107" i="27"/>
  <c r="AC107" i="27"/>
  <c r="AB107" i="27"/>
  <c r="P107" i="27"/>
  <c r="AN107" i="27" s="1"/>
  <c r="J107" i="27"/>
  <c r="Q107" i="27" s="1"/>
  <c r="AX106" i="27"/>
  <c r="AW106" i="27"/>
  <c r="AV106" i="27"/>
  <c r="AT106" i="27"/>
  <c r="AS106" i="27"/>
  <c r="AR106" i="27"/>
  <c r="AQ106" i="27"/>
  <c r="AP106" i="27"/>
  <c r="AM106" i="27"/>
  <c r="AL106" i="27"/>
  <c r="AK106" i="27"/>
  <c r="AJ106" i="27"/>
  <c r="AI106" i="27"/>
  <c r="AH106" i="27"/>
  <c r="AG106" i="27"/>
  <c r="AF106" i="27"/>
  <c r="AE106" i="27"/>
  <c r="AD106" i="27"/>
  <c r="AC106" i="27"/>
  <c r="AB106" i="27"/>
  <c r="J106" i="27"/>
  <c r="Q106" i="27" s="1"/>
  <c r="F106" i="27"/>
  <c r="P106" i="27" s="1"/>
  <c r="AN106" i="27" s="1"/>
  <c r="AX105" i="27"/>
  <c r="AW105" i="27"/>
  <c r="AV105" i="27"/>
  <c r="AT105" i="27"/>
  <c r="AS105" i="27"/>
  <c r="AR105" i="27"/>
  <c r="AQ105" i="27"/>
  <c r="AP105" i="27"/>
  <c r="AM105" i="27"/>
  <c r="AL105" i="27"/>
  <c r="AK105" i="27"/>
  <c r="AJ105" i="27"/>
  <c r="AI105" i="27"/>
  <c r="AH105" i="27"/>
  <c r="AG105" i="27"/>
  <c r="AF105" i="27"/>
  <c r="AE105" i="27"/>
  <c r="AD105" i="27"/>
  <c r="AC105" i="27"/>
  <c r="AB105" i="27"/>
  <c r="Q105" i="27"/>
  <c r="P105" i="27"/>
  <c r="AN105" i="27" s="1"/>
  <c r="J105" i="27"/>
  <c r="AX104" i="27"/>
  <c r="AW104" i="27"/>
  <c r="AV104" i="27"/>
  <c r="AT104" i="27"/>
  <c r="AS104" i="27"/>
  <c r="AR104" i="27"/>
  <c r="AQ104" i="27"/>
  <c r="AP104" i="27"/>
  <c r="AO104" i="27"/>
  <c r="AM104" i="27"/>
  <c r="AL104" i="27"/>
  <c r="AK104" i="27"/>
  <c r="AJ104" i="27"/>
  <c r="AI104" i="27"/>
  <c r="AH104" i="27"/>
  <c r="AG104" i="27"/>
  <c r="AF104" i="27"/>
  <c r="AE104" i="27"/>
  <c r="AD104" i="27"/>
  <c r="AC104" i="27"/>
  <c r="AB104" i="27"/>
  <c r="P104" i="27"/>
  <c r="AN104" i="27" s="1"/>
  <c r="J104" i="27"/>
  <c r="Q104" i="27" s="1"/>
  <c r="W104" i="27" s="1"/>
  <c r="AU104" i="27" s="1"/>
  <c r="AX103" i="27"/>
  <c r="AW103" i="27"/>
  <c r="AV103" i="27"/>
  <c r="AT103" i="27"/>
  <c r="AS103" i="27"/>
  <c r="AR103" i="27"/>
  <c r="AQ103" i="27"/>
  <c r="AP103" i="27"/>
  <c r="AM103" i="27"/>
  <c r="AL103" i="27"/>
  <c r="AK103" i="27"/>
  <c r="AJ103" i="27"/>
  <c r="AI103" i="27"/>
  <c r="AG103" i="27"/>
  <c r="AF103" i="27"/>
  <c r="AE103" i="27"/>
  <c r="AD103" i="27"/>
  <c r="AC103" i="27"/>
  <c r="AB103" i="27"/>
  <c r="P103" i="27"/>
  <c r="AN103" i="27" s="1"/>
  <c r="J103" i="27"/>
  <c r="AH103" i="27" s="1"/>
  <c r="AX102" i="27"/>
  <c r="AW102" i="27"/>
  <c r="AV102" i="27"/>
  <c r="AT102" i="27"/>
  <c r="AS102" i="27"/>
  <c r="AR102" i="27"/>
  <c r="AQ102" i="27"/>
  <c r="AP102" i="27"/>
  <c r="AN102" i="27"/>
  <c r="AM102" i="27"/>
  <c r="AL102" i="27"/>
  <c r="AK102" i="27"/>
  <c r="AJ102" i="27"/>
  <c r="AI102" i="27"/>
  <c r="AG102" i="27"/>
  <c r="AF102" i="27"/>
  <c r="AE102" i="27"/>
  <c r="AD102" i="27"/>
  <c r="AC102" i="27"/>
  <c r="AB102" i="27"/>
  <c r="P102" i="27"/>
  <c r="J102" i="27"/>
  <c r="AH102" i="27" s="1"/>
  <c r="AX101" i="27"/>
  <c r="AW101" i="27"/>
  <c r="AV101" i="27"/>
  <c r="AT101" i="27"/>
  <c r="AS101" i="27"/>
  <c r="AR101" i="27"/>
  <c r="AQ101" i="27"/>
  <c r="AP101" i="27"/>
  <c r="AM101" i="27"/>
  <c r="AL101" i="27"/>
  <c r="AK101" i="27"/>
  <c r="AJ101" i="27"/>
  <c r="AI101" i="27"/>
  <c r="AH101" i="27"/>
  <c r="AG101" i="27"/>
  <c r="AF101" i="27"/>
  <c r="AE101" i="27"/>
  <c r="AD101" i="27"/>
  <c r="AC101" i="27"/>
  <c r="AB101" i="27"/>
  <c r="Q101" i="27"/>
  <c r="P101" i="27"/>
  <c r="AN101" i="27" s="1"/>
  <c r="J101" i="27"/>
  <c r="AX100" i="27"/>
  <c r="AW100" i="27"/>
  <c r="AV100" i="27"/>
  <c r="AT100" i="27"/>
  <c r="AS100" i="27"/>
  <c r="AR100" i="27"/>
  <c r="AQ100" i="27"/>
  <c r="AP100" i="27"/>
  <c r="AM100" i="27"/>
  <c r="AL100" i="27"/>
  <c r="AK100" i="27"/>
  <c r="AJ100" i="27"/>
  <c r="AI100" i="27"/>
  <c r="AH100" i="27"/>
  <c r="AG100" i="27"/>
  <c r="AF100" i="27"/>
  <c r="AE100" i="27"/>
  <c r="AD100" i="27"/>
  <c r="AC100" i="27"/>
  <c r="AB100" i="27"/>
  <c r="P100" i="27"/>
  <c r="AN100" i="27" s="1"/>
  <c r="J100" i="27"/>
  <c r="AX99" i="27"/>
  <c r="AW99" i="27"/>
  <c r="AV99" i="27"/>
  <c r="AT99" i="27"/>
  <c r="AS99" i="27"/>
  <c r="AR99" i="27"/>
  <c r="AQ99" i="27"/>
  <c r="AP99" i="27"/>
  <c r="AM99" i="27"/>
  <c r="AL99" i="27"/>
  <c r="AK99" i="27"/>
  <c r="AJ99" i="27"/>
  <c r="AI99" i="27"/>
  <c r="AG99" i="27"/>
  <c r="AF99" i="27"/>
  <c r="AE99" i="27"/>
  <c r="AD99" i="27"/>
  <c r="AC99" i="27"/>
  <c r="AB99" i="27"/>
  <c r="P99" i="27"/>
  <c r="AN99" i="27" s="1"/>
  <c r="J99" i="27"/>
  <c r="AH99" i="27" s="1"/>
  <c r="AX98" i="27"/>
  <c r="AW98" i="27"/>
  <c r="AV98" i="27"/>
  <c r="AT98" i="27"/>
  <c r="AS98" i="27"/>
  <c r="AR98" i="27"/>
  <c r="AQ98" i="27"/>
  <c r="AP98" i="27"/>
  <c r="AN98" i="27"/>
  <c r="AM98" i="27"/>
  <c r="AL98" i="27"/>
  <c r="AK98" i="27"/>
  <c r="AJ98" i="27"/>
  <c r="AI98" i="27"/>
  <c r="AG98" i="27"/>
  <c r="AF98" i="27"/>
  <c r="AE98" i="27"/>
  <c r="AD98" i="27"/>
  <c r="AC98" i="27"/>
  <c r="AB98" i="27"/>
  <c r="Q98" i="27"/>
  <c r="AO98" i="27" s="1"/>
  <c r="P98" i="27"/>
  <c r="J98" i="27"/>
  <c r="AH98" i="27" s="1"/>
  <c r="AX97" i="27"/>
  <c r="AW97" i="27"/>
  <c r="AV97" i="27"/>
  <c r="AT97" i="27"/>
  <c r="AS97" i="27"/>
  <c r="AR97" i="27"/>
  <c r="AQ97" i="27"/>
  <c r="AP97" i="27"/>
  <c r="AM97" i="27"/>
  <c r="AL97" i="27"/>
  <c r="AK97" i="27"/>
  <c r="AJ97" i="27"/>
  <c r="AI97" i="27"/>
  <c r="AH97" i="27"/>
  <c r="AG97" i="27"/>
  <c r="AF97" i="27"/>
  <c r="AE97" i="27"/>
  <c r="AD97" i="27"/>
  <c r="AC97" i="27"/>
  <c r="AB97" i="27"/>
  <c r="Q97" i="27"/>
  <c r="P97" i="27"/>
  <c r="AN97" i="27" s="1"/>
  <c r="J97" i="27"/>
  <c r="AX96" i="27"/>
  <c r="AW96" i="27"/>
  <c r="AV96" i="27"/>
  <c r="AT96" i="27"/>
  <c r="AS96" i="27"/>
  <c r="AR96" i="27"/>
  <c r="AQ96" i="27"/>
  <c r="AP96" i="27"/>
  <c r="AM96" i="27"/>
  <c r="AL96" i="27"/>
  <c r="AK96" i="27"/>
  <c r="AJ96" i="27"/>
  <c r="AI96" i="27"/>
  <c r="AH96" i="27"/>
  <c r="AG96" i="27"/>
  <c r="AF96" i="27"/>
  <c r="AE96" i="27"/>
  <c r="AD96" i="27"/>
  <c r="AC96" i="27"/>
  <c r="AB96" i="27"/>
  <c r="P96" i="27"/>
  <c r="AN96" i="27" s="1"/>
  <c r="J96" i="27"/>
  <c r="AX95" i="27"/>
  <c r="AW95" i="27"/>
  <c r="AV95" i="27"/>
  <c r="AT95" i="27"/>
  <c r="AS95" i="27"/>
  <c r="AR95" i="27"/>
  <c r="AQ95" i="27"/>
  <c r="AP95" i="27"/>
  <c r="AM95" i="27"/>
  <c r="AL95" i="27"/>
  <c r="AK95" i="27"/>
  <c r="AJ95" i="27"/>
  <c r="AI95" i="27"/>
  <c r="AG95" i="27"/>
  <c r="AF95" i="27"/>
  <c r="AE95" i="27"/>
  <c r="AD95" i="27"/>
  <c r="AC95" i="27"/>
  <c r="AB95" i="27"/>
  <c r="P95" i="27"/>
  <c r="J95" i="27"/>
  <c r="AH95" i="27" s="1"/>
  <c r="AX94" i="27"/>
  <c r="AW94" i="27"/>
  <c r="AV94" i="27"/>
  <c r="AT94" i="27"/>
  <c r="AS94" i="27"/>
  <c r="AR94" i="27"/>
  <c r="AQ94" i="27"/>
  <c r="AP94" i="27"/>
  <c r="AN94" i="27"/>
  <c r="AM94" i="27"/>
  <c r="AL94" i="27"/>
  <c r="AK94" i="27"/>
  <c r="AJ94" i="27"/>
  <c r="AI94" i="27"/>
  <c r="AG94" i="27"/>
  <c r="AF94" i="27"/>
  <c r="AE94" i="27"/>
  <c r="AD94" i="27"/>
  <c r="AC94" i="27"/>
  <c r="AB94" i="27"/>
  <c r="P94" i="27"/>
  <c r="J94" i="27"/>
  <c r="AH94" i="27" s="1"/>
  <c r="AX93" i="27"/>
  <c r="AW93" i="27"/>
  <c r="AV93" i="27"/>
  <c r="AT93" i="27"/>
  <c r="AS93" i="27"/>
  <c r="AR93" i="27"/>
  <c r="AQ93" i="27"/>
  <c r="AP93" i="27"/>
  <c r="AM93" i="27"/>
  <c r="AL93" i="27"/>
  <c r="AK93" i="27"/>
  <c r="AJ93" i="27"/>
  <c r="AI93" i="27"/>
  <c r="AH93" i="27"/>
  <c r="AG93" i="27"/>
  <c r="AF93" i="27"/>
  <c r="AE93" i="27"/>
  <c r="AD93" i="27"/>
  <c r="AC93" i="27"/>
  <c r="AB93" i="27"/>
  <c r="Q93" i="27"/>
  <c r="P93" i="27"/>
  <c r="AN93" i="27" s="1"/>
  <c r="J93" i="27"/>
  <c r="AX92" i="27"/>
  <c r="AW92" i="27"/>
  <c r="AV92" i="27"/>
  <c r="AT92" i="27"/>
  <c r="AS92" i="27"/>
  <c r="AR92" i="27"/>
  <c r="AQ92" i="27"/>
  <c r="AP92" i="27"/>
  <c r="AO92" i="27"/>
  <c r="AM92" i="27"/>
  <c r="AL92" i="27"/>
  <c r="AK92" i="27"/>
  <c r="AJ92" i="27"/>
  <c r="AI92" i="27"/>
  <c r="AH92" i="27"/>
  <c r="AG92" i="27"/>
  <c r="AF92" i="27"/>
  <c r="AE92" i="27"/>
  <c r="AD92" i="27"/>
  <c r="AC92" i="27"/>
  <c r="AB92" i="27"/>
  <c r="P92" i="27"/>
  <c r="AN92" i="27" s="1"/>
  <c r="J92" i="27"/>
  <c r="Q92" i="27" s="1"/>
  <c r="W92" i="27" s="1"/>
  <c r="AU92" i="27" s="1"/>
  <c r="AX91" i="27"/>
  <c r="AW91" i="27"/>
  <c r="AV91" i="27"/>
  <c r="AT91" i="27"/>
  <c r="AS91" i="27"/>
  <c r="AR91" i="27"/>
  <c r="AQ91" i="27"/>
  <c r="AP91" i="27"/>
  <c r="AM91" i="27"/>
  <c r="AL91" i="27"/>
  <c r="AK91" i="27"/>
  <c r="AJ91" i="27"/>
  <c r="AI91" i="27"/>
  <c r="AH91" i="27"/>
  <c r="AG91" i="27"/>
  <c r="AF91" i="27"/>
  <c r="AE91" i="27"/>
  <c r="AD91" i="27"/>
  <c r="AC91" i="27"/>
  <c r="AB91" i="27"/>
  <c r="P91" i="27"/>
  <c r="J91" i="27"/>
  <c r="AX90" i="27"/>
  <c r="AW90" i="27"/>
  <c r="AV90" i="27"/>
  <c r="AT90" i="27"/>
  <c r="AS90" i="27"/>
  <c r="AR90" i="27"/>
  <c r="AQ90" i="27"/>
  <c r="AP90" i="27"/>
  <c r="AN90" i="27"/>
  <c r="AM90" i="27"/>
  <c r="AL90" i="27"/>
  <c r="AK90" i="27"/>
  <c r="AJ90" i="27"/>
  <c r="AI90" i="27"/>
  <c r="AG90" i="27"/>
  <c r="AF90" i="27"/>
  <c r="AE90" i="27"/>
  <c r="AD90" i="27"/>
  <c r="AC90" i="27"/>
  <c r="AB90" i="27"/>
  <c r="P90" i="27"/>
  <c r="Q90" i="27" s="1"/>
  <c r="J90" i="27"/>
  <c r="AH90" i="27" s="1"/>
  <c r="AX89" i="27"/>
  <c r="AW89" i="27"/>
  <c r="AV89" i="27"/>
  <c r="AT89" i="27"/>
  <c r="AS89" i="27"/>
  <c r="AR89" i="27"/>
  <c r="AQ89" i="27"/>
  <c r="AP89" i="27"/>
  <c r="AM89" i="27"/>
  <c r="AL89" i="27"/>
  <c r="AK89" i="27"/>
  <c r="AJ89" i="27"/>
  <c r="AI89" i="27"/>
  <c r="AG89" i="27"/>
  <c r="AF89" i="27"/>
  <c r="AE89" i="27"/>
  <c r="AD89" i="27"/>
  <c r="AC89" i="27"/>
  <c r="AB89" i="27"/>
  <c r="Q89" i="27"/>
  <c r="P89" i="27"/>
  <c r="AN89" i="27" s="1"/>
  <c r="J89" i="27"/>
  <c r="AH89" i="27" s="1"/>
  <c r="AX88" i="27"/>
  <c r="AW88" i="27"/>
  <c r="AV88" i="27"/>
  <c r="AT88" i="27"/>
  <c r="AS88" i="27"/>
  <c r="AR88" i="27"/>
  <c r="AQ88" i="27"/>
  <c r="AP88" i="27"/>
  <c r="AO88" i="27"/>
  <c r="AM88" i="27"/>
  <c r="AL88" i="27"/>
  <c r="AK88" i="27"/>
  <c r="AJ88" i="27"/>
  <c r="AI88" i="27"/>
  <c r="AH88" i="27"/>
  <c r="AG88" i="27"/>
  <c r="AF88" i="27"/>
  <c r="AE88" i="27"/>
  <c r="AC88" i="27"/>
  <c r="AB88" i="27"/>
  <c r="P88" i="27"/>
  <c r="AN88" i="27" s="1"/>
  <c r="J88" i="27"/>
  <c r="Q88" i="27" s="1"/>
  <c r="W88" i="27" s="1"/>
  <c r="AU88" i="27" s="1"/>
  <c r="F88" i="27"/>
  <c r="AD88" i="27" s="1"/>
  <c r="AX87" i="27"/>
  <c r="AW87" i="27"/>
  <c r="AV87" i="27"/>
  <c r="AT87" i="27"/>
  <c r="AS87" i="27"/>
  <c r="AR87" i="27"/>
  <c r="AQ87" i="27"/>
  <c r="AP87" i="27"/>
  <c r="AM87" i="27"/>
  <c r="AL87" i="27"/>
  <c r="AK87" i="27"/>
  <c r="AJ87" i="27"/>
  <c r="AI87" i="27"/>
  <c r="AG87" i="27"/>
  <c r="AF87" i="27"/>
  <c r="AE87" i="27"/>
  <c r="AC87" i="27"/>
  <c r="AB87" i="27"/>
  <c r="J87" i="27"/>
  <c r="AH87" i="27" s="1"/>
  <c r="F87" i="27"/>
  <c r="AD87" i="27" s="1"/>
  <c r="AX86" i="27"/>
  <c r="AW86" i="27"/>
  <c r="AV86" i="27"/>
  <c r="AT86" i="27"/>
  <c r="AS86" i="27"/>
  <c r="AR86" i="27"/>
  <c r="AQ86" i="27"/>
  <c r="AP86" i="27"/>
  <c r="AM86" i="27"/>
  <c r="AL86" i="27"/>
  <c r="AK86" i="27"/>
  <c r="AJ86" i="27"/>
  <c r="AI86" i="27"/>
  <c r="AG86" i="27"/>
  <c r="AF86" i="27"/>
  <c r="AE86" i="27"/>
  <c r="AD86" i="27"/>
  <c r="AC86" i="27"/>
  <c r="AB86" i="27"/>
  <c r="P86" i="27"/>
  <c r="AN86" i="27" s="1"/>
  <c r="J86" i="27"/>
  <c r="AH86" i="27" s="1"/>
  <c r="F86" i="27"/>
  <c r="AX85" i="27"/>
  <c r="AW85" i="27"/>
  <c r="AV85" i="27"/>
  <c r="AT85" i="27"/>
  <c r="AS85" i="27"/>
  <c r="AR85" i="27"/>
  <c r="AQ85" i="27"/>
  <c r="AP85" i="27"/>
  <c r="AM85" i="27"/>
  <c r="AL85" i="27"/>
  <c r="AK85" i="27"/>
  <c r="AJ85" i="27"/>
  <c r="AI85" i="27"/>
  <c r="AH85" i="27"/>
  <c r="AG85" i="27"/>
  <c r="AF85" i="27"/>
  <c r="AE85" i="27"/>
  <c r="AD85" i="27"/>
  <c r="AC85" i="27"/>
  <c r="AB85" i="27"/>
  <c r="J85" i="27"/>
  <c r="F85" i="27"/>
  <c r="P85" i="27" s="1"/>
  <c r="AN85" i="27" s="1"/>
  <c r="AX84" i="27"/>
  <c r="AW84" i="27"/>
  <c r="AV84" i="27"/>
  <c r="AT84" i="27"/>
  <c r="AS84" i="27"/>
  <c r="AR84" i="27"/>
  <c r="AQ84" i="27"/>
  <c r="AP84" i="27"/>
  <c r="AM84" i="27"/>
  <c r="AL84" i="27"/>
  <c r="AK84" i="27"/>
  <c r="AJ84" i="27"/>
  <c r="AI84" i="27"/>
  <c r="AG84" i="27"/>
  <c r="AF84" i="27"/>
  <c r="AE84" i="27"/>
  <c r="AC84" i="27"/>
  <c r="AB84" i="27"/>
  <c r="J84" i="27"/>
  <c r="AH84" i="27" s="1"/>
  <c r="F84" i="27"/>
  <c r="AD84" i="27" s="1"/>
  <c r="AX83" i="27"/>
  <c r="AW83" i="27"/>
  <c r="AV83" i="27"/>
  <c r="AT83" i="27"/>
  <c r="AS83" i="27"/>
  <c r="AR83" i="27"/>
  <c r="AQ83" i="27"/>
  <c r="AP83" i="27"/>
  <c r="AM83" i="27"/>
  <c r="AL83" i="27"/>
  <c r="AK83" i="27"/>
  <c r="AJ83" i="27"/>
  <c r="AI83" i="27"/>
  <c r="AG83" i="27"/>
  <c r="AF83" i="27"/>
  <c r="AE83" i="27"/>
  <c r="AD83" i="27"/>
  <c r="AC83" i="27"/>
  <c r="AB83" i="27"/>
  <c r="P83" i="27"/>
  <c r="AN83" i="27" s="1"/>
  <c r="J83" i="27"/>
  <c r="AH83" i="27" s="1"/>
  <c r="F83" i="27"/>
  <c r="AX82" i="27"/>
  <c r="AW82" i="27"/>
  <c r="AV82" i="27"/>
  <c r="AT82" i="27"/>
  <c r="AS82" i="27"/>
  <c r="AR82" i="27"/>
  <c r="AQ82" i="27"/>
  <c r="AP82" i="27"/>
  <c r="AO82" i="27"/>
  <c r="AM82" i="27"/>
  <c r="AL82" i="27"/>
  <c r="AK82" i="27"/>
  <c r="AJ82" i="27"/>
  <c r="AI82" i="27"/>
  <c r="AH82" i="27"/>
  <c r="AG82" i="27"/>
  <c r="AF82" i="27"/>
  <c r="AE82" i="27"/>
  <c r="AD82" i="27"/>
  <c r="AC82" i="27"/>
  <c r="AB82" i="27"/>
  <c r="P82" i="27"/>
  <c r="AN82" i="27" s="1"/>
  <c r="J82" i="27"/>
  <c r="Q82" i="27" s="1"/>
  <c r="W82" i="27" s="1"/>
  <c r="AU82" i="27" s="1"/>
  <c r="AX81" i="27"/>
  <c r="AW81" i="27"/>
  <c r="AV81" i="27"/>
  <c r="AT81" i="27"/>
  <c r="AS81" i="27"/>
  <c r="AR81" i="27"/>
  <c r="AQ81" i="27"/>
  <c r="AP81" i="27"/>
  <c r="AM81" i="27"/>
  <c r="AL81" i="27"/>
  <c r="AK81" i="27"/>
  <c r="AJ81" i="27"/>
  <c r="AI81" i="27"/>
  <c r="AG81" i="27"/>
  <c r="AF81" i="27"/>
  <c r="AE81" i="27"/>
  <c r="AD81" i="27"/>
  <c r="AC81" i="27"/>
  <c r="AB81" i="27"/>
  <c r="P81" i="27"/>
  <c r="AN81" i="27" s="1"/>
  <c r="J81" i="27"/>
  <c r="Q81" i="27" s="1"/>
  <c r="AX80" i="27"/>
  <c r="AW80" i="27"/>
  <c r="AV80" i="27"/>
  <c r="AT80" i="27"/>
  <c r="AS80" i="27"/>
  <c r="AR80" i="27"/>
  <c r="AQ80" i="27"/>
  <c r="AP80" i="27"/>
  <c r="AN80" i="27"/>
  <c r="AM80" i="27"/>
  <c r="AL80" i="27"/>
  <c r="AK80" i="27"/>
  <c r="AJ80" i="27"/>
  <c r="AI80" i="27"/>
  <c r="AG80" i="27"/>
  <c r="AF80" i="27"/>
  <c r="AE80" i="27"/>
  <c r="AD80" i="27"/>
  <c r="AC80" i="27"/>
  <c r="AB80" i="27"/>
  <c r="P80" i="27"/>
  <c r="J80" i="27"/>
  <c r="AH80" i="27" s="1"/>
  <c r="AX79" i="27"/>
  <c r="AW79" i="27"/>
  <c r="AV79" i="27"/>
  <c r="AT79" i="27"/>
  <c r="AS79" i="27"/>
  <c r="AR79" i="27"/>
  <c r="AQ79" i="27"/>
  <c r="AP79" i="27"/>
  <c r="AM79" i="27"/>
  <c r="AL79" i="27"/>
  <c r="AK79" i="27"/>
  <c r="AJ79" i="27"/>
  <c r="AI79" i="27"/>
  <c r="AG79" i="27"/>
  <c r="AF79" i="27"/>
  <c r="AE79" i="27"/>
  <c r="AC79" i="27"/>
  <c r="AB79" i="27"/>
  <c r="Q79" i="27"/>
  <c r="J79" i="27"/>
  <c r="AH79" i="27" s="1"/>
  <c r="F79" i="27"/>
  <c r="P79" i="27" s="1"/>
  <c r="AN79" i="27" s="1"/>
  <c r="AX78" i="27"/>
  <c r="AW78" i="27"/>
  <c r="AV78" i="27"/>
  <c r="AT78" i="27"/>
  <c r="AS78" i="27"/>
  <c r="AR78" i="27"/>
  <c r="AQ78" i="27"/>
  <c r="AP78" i="27"/>
  <c r="AM78" i="27"/>
  <c r="AL78" i="27"/>
  <c r="AK78" i="27"/>
  <c r="AJ78" i="27"/>
  <c r="AI78" i="27"/>
  <c r="AG78" i="27"/>
  <c r="AF78" i="27"/>
  <c r="AE78" i="27"/>
  <c r="AC78" i="27"/>
  <c r="AB78" i="27"/>
  <c r="J78" i="27"/>
  <c r="F78" i="27"/>
  <c r="P78" i="27" s="1"/>
  <c r="AN78" i="27" s="1"/>
  <c r="AX77" i="27"/>
  <c r="AW77" i="27"/>
  <c r="AV77" i="27"/>
  <c r="AT77" i="27"/>
  <c r="AS77" i="27"/>
  <c r="AR77" i="27"/>
  <c r="AQ77" i="27"/>
  <c r="AP77" i="27"/>
  <c r="AM77" i="27"/>
  <c r="AL77" i="27"/>
  <c r="AK77" i="27"/>
  <c r="AJ77" i="27"/>
  <c r="AI77" i="27"/>
  <c r="AH77" i="27"/>
  <c r="AG77" i="27"/>
  <c r="AF77" i="27"/>
  <c r="AE77" i="27"/>
  <c r="AC77" i="27"/>
  <c r="AB77" i="27"/>
  <c r="J77" i="27"/>
  <c r="F77" i="27"/>
  <c r="AD77" i="27" s="1"/>
  <c r="AX76" i="27"/>
  <c r="AW76" i="27"/>
  <c r="AV76" i="27"/>
  <c r="AT76" i="27"/>
  <c r="AS76" i="27"/>
  <c r="AR76" i="27"/>
  <c r="AQ76" i="27"/>
  <c r="AP76" i="27"/>
  <c r="AM76" i="27"/>
  <c r="AL76" i="27"/>
  <c r="AK76" i="27"/>
  <c r="AJ76" i="27"/>
  <c r="AI76" i="27"/>
  <c r="AG76" i="27"/>
  <c r="AF76" i="27"/>
  <c r="AE76" i="27"/>
  <c r="AD76" i="27"/>
  <c r="AC76" i="27"/>
  <c r="AB76" i="27"/>
  <c r="Q76" i="27"/>
  <c r="P76" i="27"/>
  <c r="AN76" i="27" s="1"/>
  <c r="J76" i="27"/>
  <c r="AH76" i="27" s="1"/>
  <c r="AX75" i="27"/>
  <c r="AW75" i="27"/>
  <c r="AV75" i="27"/>
  <c r="AT75" i="27"/>
  <c r="AS75" i="27"/>
  <c r="AR75" i="27"/>
  <c r="AQ75" i="27"/>
  <c r="AP75" i="27"/>
  <c r="AM75" i="27"/>
  <c r="AL75" i="27"/>
  <c r="AK75" i="27"/>
  <c r="AJ75" i="27"/>
  <c r="AI75" i="27"/>
  <c r="AH75" i="27"/>
  <c r="AG75" i="27"/>
  <c r="AF75" i="27"/>
  <c r="AE75" i="27"/>
  <c r="AD75" i="27"/>
  <c r="AC75" i="27"/>
  <c r="AB75" i="27"/>
  <c r="P75" i="27"/>
  <c r="AN75" i="27" s="1"/>
  <c r="J75" i="27"/>
  <c r="Q75" i="27" s="1"/>
  <c r="W75" i="27" s="1"/>
  <c r="AU75" i="27" s="1"/>
  <c r="AX74" i="27"/>
  <c r="AW74" i="27"/>
  <c r="AV74" i="27"/>
  <c r="AT74" i="27"/>
  <c r="AS74" i="27"/>
  <c r="AR74" i="27"/>
  <c r="AQ74" i="27"/>
  <c r="AP74" i="27"/>
  <c r="AM74" i="27"/>
  <c r="AL74" i="27"/>
  <c r="AK74" i="27"/>
  <c r="AJ74" i="27"/>
  <c r="AI74" i="27"/>
  <c r="AG74" i="27"/>
  <c r="AF74" i="27"/>
  <c r="AE74" i="27"/>
  <c r="AD74" i="27"/>
  <c r="AC74" i="27"/>
  <c r="AB74" i="27"/>
  <c r="P74" i="27"/>
  <c r="J74" i="27"/>
  <c r="AH74" i="27" s="1"/>
  <c r="AX73" i="27"/>
  <c r="AW73" i="27"/>
  <c r="AV73" i="27"/>
  <c r="AT73" i="27"/>
  <c r="AS73" i="27"/>
  <c r="AR73" i="27"/>
  <c r="AQ73" i="27"/>
  <c r="AP73" i="27"/>
  <c r="AM73" i="27"/>
  <c r="AL73" i="27"/>
  <c r="AK73" i="27"/>
  <c r="AJ73" i="27"/>
  <c r="AI73" i="27"/>
  <c r="AG73" i="27"/>
  <c r="AF73" i="27"/>
  <c r="AE73" i="27"/>
  <c r="AC73" i="27"/>
  <c r="AB73" i="27"/>
  <c r="J73" i="27"/>
  <c r="AH73" i="27" s="1"/>
  <c r="F73" i="27"/>
  <c r="AX72" i="27"/>
  <c r="AW72" i="27"/>
  <c r="AV72" i="27"/>
  <c r="AT72" i="27"/>
  <c r="AS72" i="27"/>
  <c r="AR72" i="27"/>
  <c r="AQ72" i="27"/>
  <c r="AP72" i="27"/>
  <c r="AM72" i="27"/>
  <c r="AL72" i="27"/>
  <c r="AK72" i="27"/>
  <c r="AJ72" i="27"/>
  <c r="AI72" i="27"/>
  <c r="AG72" i="27"/>
  <c r="AF72" i="27"/>
  <c r="AE72" i="27"/>
  <c r="AD72" i="27"/>
  <c r="AC72" i="27"/>
  <c r="AB72" i="27"/>
  <c r="P72" i="27"/>
  <c r="AN72" i="27" s="1"/>
  <c r="J72" i="27"/>
  <c r="Q72" i="27" s="1"/>
  <c r="AO72" i="27" s="1"/>
  <c r="AX71" i="27"/>
  <c r="AW71" i="27"/>
  <c r="AV71" i="27"/>
  <c r="AT71" i="27"/>
  <c r="AS71" i="27"/>
  <c r="AR71" i="27"/>
  <c r="AQ71" i="27"/>
  <c r="AP71" i="27"/>
  <c r="AM71" i="27"/>
  <c r="AL71" i="27"/>
  <c r="AK71" i="27"/>
  <c r="AJ71" i="27"/>
  <c r="AI71" i="27"/>
  <c r="AG71" i="27"/>
  <c r="AF71" i="27"/>
  <c r="AE71" i="27"/>
  <c r="AD71" i="27"/>
  <c r="AC71" i="27"/>
  <c r="AB71" i="27"/>
  <c r="P71" i="27"/>
  <c r="AN71" i="27" s="1"/>
  <c r="J71" i="27"/>
  <c r="Q71" i="27" s="1"/>
  <c r="AX70" i="27"/>
  <c r="AW70" i="27"/>
  <c r="AV70" i="27"/>
  <c r="AT70" i="27"/>
  <c r="AS70" i="27"/>
  <c r="AR70" i="27"/>
  <c r="AQ70" i="27"/>
  <c r="AP70" i="27"/>
  <c r="AM70" i="27"/>
  <c r="AL70" i="27"/>
  <c r="AK70" i="27"/>
  <c r="AJ70" i="27"/>
  <c r="AI70" i="27"/>
  <c r="AG70" i="27"/>
  <c r="AF70" i="27"/>
  <c r="AE70" i="27"/>
  <c r="AD70" i="27"/>
  <c r="AC70" i="27"/>
  <c r="AB70" i="27"/>
  <c r="Q70" i="27"/>
  <c r="P70" i="27"/>
  <c r="AN70" i="27" s="1"/>
  <c r="J70" i="27"/>
  <c r="AH70" i="27" s="1"/>
  <c r="AX69" i="27"/>
  <c r="AW69" i="27"/>
  <c r="AV69" i="27"/>
  <c r="AT69" i="27"/>
  <c r="AS69" i="27"/>
  <c r="AR69" i="27"/>
  <c r="AQ69" i="27"/>
  <c r="AP69" i="27"/>
  <c r="AM69" i="27"/>
  <c r="AL69" i="27"/>
  <c r="AK69" i="27"/>
  <c r="AJ69" i="27"/>
  <c r="AI69" i="27"/>
  <c r="AG69" i="27"/>
  <c r="AF69" i="27"/>
  <c r="AE69" i="27"/>
  <c r="AC69" i="27"/>
  <c r="AB69" i="27"/>
  <c r="J69" i="27"/>
  <c r="F69" i="27"/>
  <c r="AD69" i="27" s="1"/>
  <c r="AX68" i="27"/>
  <c r="AW68" i="27"/>
  <c r="AV68" i="27"/>
  <c r="AT68" i="27"/>
  <c r="AS68" i="27"/>
  <c r="AR68" i="27"/>
  <c r="AQ68" i="27"/>
  <c r="AP68" i="27"/>
  <c r="AN68" i="27"/>
  <c r="AM68" i="27"/>
  <c r="AL68" i="27"/>
  <c r="AK68" i="27"/>
  <c r="AJ68" i="27"/>
  <c r="AI68" i="27"/>
  <c r="AG68" i="27"/>
  <c r="AF68" i="27"/>
  <c r="AE68" i="27"/>
  <c r="AD68" i="27"/>
  <c r="AC68" i="27"/>
  <c r="AB68" i="27"/>
  <c r="P68" i="27"/>
  <c r="J68" i="27"/>
  <c r="Q68" i="27" s="1"/>
  <c r="AX67" i="27"/>
  <c r="AW67" i="27"/>
  <c r="AV67" i="27"/>
  <c r="AT67" i="27"/>
  <c r="AS67" i="27"/>
  <c r="AR67" i="27"/>
  <c r="AQ67" i="27"/>
  <c r="AP67" i="27"/>
  <c r="AM67" i="27"/>
  <c r="AL67" i="27"/>
  <c r="AK67" i="27"/>
  <c r="AJ67" i="27"/>
  <c r="AI67" i="27"/>
  <c r="AG67" i="27"/>
  <c r="AF67" i="27"/>
  <c r="AE67" i="27"/>
  <c r="AD67" i="27"/>
  <c r="AC67" i="27"/>
  <c r="AB67" i="27"/>
  <c r="P67" i="27"/>
  <c r="AN67" i="27" s="1"/>
  <c r="J67" i="27"/>
  <c r="AX66" i="27"/>
  <c r="AW66" i="27"/>
  <c r="AV66" i="27"/>
  <c r="AT66" i="27"/>
  <c r="AS66" i="27"/>
  <c r="AR66" i="27"/>
  <c r="AQ66" i="27"/>
  <c r="AP66" i="27"/>
  <c r="AM66" i="27"/>
  <c r="AL66" i="27"/>
  <c r="AK66" i="27"/>
  <c r="AJ66" i="27"/>
  <c r="AI66" i="27"/>
  <c r="AH66" i="27"/>
  <c r="AG66" i="27"/>
  <c r="AF66" i="27"/>
  <c r="AE66" i="27"/>
  <c r="AD66" i="27"/>
  <c r="AC66" i="27"/>
  <c r="AB66" i="27"/>
  <c r="W66" i="27"/>
  <c r="AU66" i="27" s="1"/>
  <c r="P66" i="27"/>
  <c r="AN66" i="27" s="1"/>
  <c r="J66" i="27"/>
  <c r="Q66" i="27" s="1"/>
  <c r="AO66" i="27" s="1"/>
  <c r="AX65" i="27"/>
  <c r="AW65" i="27"/>
  <c r="AV65" i="27"/>
  <c r="AT65" i="27"/>
  <c r="AS65" i="27"/>
  <c r="AR65" i="27"/>
  <c r="AQ65" i="27"/>
  <c r="AP65" i="27"/>
  <c r="AM65" i="27"/>
  <c r="AL65" i="27"/>
  <c r="AK65" i="27"/>
  <c r="AJ65" i="27"/>
  <c r="AI65" i="27"/>
  <c r="AG65" i="27"/>
  <c r="AF65" i="27"/>
  <c r="AE65" i="27"/>
  <c r="AD65" i="27"/>
  <c r="AC65" i="27"/>
  <c r="AB65" i="27"/>
  <c r="P65" i="27"/>
  <c r="AN65" i="27" s="1"/>
  <c r="J65" i="27"/>
  <c r="AH65" i="27" s="1"/>
  <c r="F65" i="27"/>
  <c r="AX64" i="27"/>
  <c r="AW64" i="27"/>
  <c r="AV64" i="27"/>
  <c r="AT64" i="27"/>
  <c r="AS64" i="27"/>
  <c r="AR64" i="27"/>
  <c r="AQ64" i="27"/>
  <c r="AP64" i="27"/>
  <c r="AM64" i="27"/>
  <c r="AL64" i="27"/>
  <c r="AK64" i="27"/>
  <c r="AJ64" i="27"/>
  <c r="AI64" i="27"/>
  <c r="AH64" i="27"/>
  <c r="AG64" i="27"/>
  <c r="AF64" i="27"/>
  <c r="AE64" i="27"/>
  <c r="AD64" i="27"/>
  <c r="AC64" i="27"/>
  <c r="AB64" i="27"/>
  <c r="P64" i="27"/>
  <c r="AN64" i="27" s="1"/>
  <c r="J64" i="27"/>
  <c r="AX63" i="27"/>
  <c r="AW63" i="27"/>
  <c r="AV63" i="27"/>
  <c r="AT63" i="27"/>
  <c r="AS63" i="27"/>
  <c r="AR63" i="27"/>
  <c r="AQ63" i="27"/>
  <c r="AP63" i="27"/>
  <c r="AM63" i="27"/>
  <c r="AL63" i="27"/>
  <c r="AK63" i="27"/>
  <c r="AJ63" i="27"/>
  <c r="AI63" i="27"/>
  <c r="AG63" i="27"/>
  <c r="AF63" i="27"/>
  <c r="AE63" i="27"/>
  <c r="AD63" i="27"/>
  <c r="AC63" i="27"/>
  <c r="AB63" i="27"/>
  <c r="P63" i="27"/>
  <c r="AN63" i="27" s="1"/>
  <c r="J63" i="27"/>
  <c r="Q63" i="27" s="1"/>
  <c r="AX62" i="27"/>
  <c r="AW62" i="27"/>
  <c r="AV62" i="27"/>
  <c r="AT62" i="27"/>
  <c r="AS62" i="27"/>
  <c r="AR62" i="27"/>
  <c r="AQ62" i="27"/>
  <c r="AP62" i="27"/>
  <c r="AN62" i="27"/>
  <c r="AM62" i="27"/>
  <c r="AL62" i="27"/>
  <c r="AK62" i="27"/>
  <c r="AJ62" i="27"/>
  <c r="AI62" i="27"/>
  <c r="AG62" i="27"/>
  <c r="AF62" i="27"/>
  <c r="AE62" i="27"/>
  <c r="AD62" i="27"/>
  <c r="AC62" i="27"/>
  <c r="AB62" i="27"/>
  <c r="Q62" i="27"/>
  <c r="AO62" i="27" s="1"/>
  <c r="P62" i="27"/>
  <c r="J62" i="27"/>
  <c r="AH62" i="27" s="1"/>
  <c r="AX61" i="27"/>
  <c r="AW61" i="27"/>
  <c r="AV61" i="27"/>
  <c r="AT61" i="27"/>
  <c r="AS61" i="27"/>
  <c r="AR61" i="27"/>
  <c r="AQ61" i="27"/>
  <c r="AP61" i="27"/>
  <c r="AM61" i="27"/>
  <c r="AL61" i="27"/>
  <c r="AK61" i="27"/>
  <c r="AJ61" i="27"/>
  <c r="AI61" i="27"/>
  <c r="AG61" i="27"/>
  <c r="AF61" i="27"/>
  <c r="AE61" i="27"/>
  <c r="AD61" i="27"/>
  <c r="AC61" i="27"/>
  <c r="AB61" i="27"/>
  <c r="Q61" i="27"/>
  <c r="P61" i="27"/>
  <c r="AN61" i="27" s="1"/>
  <c r="J61" i="27"/>
  <c r="AH61" i="27" s="1"/>
  <c r="AX60" i="27"/>
  <c r="AW60" i="27"/>
  <c r="AV60" i="27"/>
  <c r="AT60" i="27"/>
  <c r="AS60" i="27"/>
  <c r="AR60" i="27"/>
  <c r="AQ60" i="27"/>
  <c r="AP60" i="27"/>
  <c r="AO60" i="27"/>
  <c r="AM60" i="27"/>
  <c r="AL60" i="27"/>
  <c r="AK60" i="27"/>
  <c r="AJ60" i="27"/>
  <c r="AI60" i="27"/>
  <c r="AH60" i="27"/>
  <c r="AG60" i="27"/>
  <c r="AF60" i="27"/>
  <c r="AE60" i="27"/>
  <c r="AD60" i="27"/>
  <c r="AC60" i="27"/>
  <c r="AB60" i="27"/>
  <c r="P60" i="27"/>
  <c r="AN60" i="27" s="1"/>
  <c r="J60" i="27"/>
  <c r="Q60" i="27" s="1"/>
  <c r="W60" i="27" s="1"/>
  <c r="AU60" i="27" s="1"/>
  <c r="F60" i="27"/>
  <c r="AX59" i="27"/>
  <c r="AW59" i="27"/>
  <c r="AV59" i="27"/>
  <c r="AT59" i="27"/>
  <c r="AS59" i="27"/>
  <c r="AR59" i="27"/>
  <c r="AQ59" i="27"/>
  <c r="AP59" i="27"/>
  <c r="AM59" i="27"/>
  <c r="AL59" i="27"/>
  <c r="AK59" i="27"/>
  <c r="AJ59" i="27"/>
  <c r="AI59" i="27"/>
  <c r="AG59" i="27"/>
  <c r="AF59" i="27"/>
  <c r="AE59" i="27"/>
  <c r="AD59" i="27"/>
  <c r="AC59" i="27"/>
  <c r="AB59" i="27"/>
  <c r="Q59" i="27"/>
  <c r="P59" i="27"/>
  <c r="AN59" i="27" s="1"/>
  <c r="J59" i="27"/>
  <c r="AH59" i="27" s="1"/>
  <c r="AX58" i="27"/>
  <c r="AW58" i="27"/>
  <c r="AV58" i="27"/>
  <c r="AT58" i="27"/>
  <c r="AS58" i="27"/>
  <c r="AR58" i="27"/>
  <c r="AQ58" i="27"/>
  <c r="AP58" i="27"/>
  <c r="AM58" i="27"/>
  <c r="AL58" i="27"/>
  <c r="AK58" i="27"/>
  <c r="AJ58" i="27"/>
  <c r="AI58" i="27"/>
  <c r="AG58" i="27"/>
  <c r="AF58" i="27"/>
  <c r="AE58" i="27"/>
  <c r="AD58" i="27"/>
  <c r="AC58" i="27"/>
  <c r="AB58" i="27"/>
  <c r="P58" i="27"/>
  <c r="AN58" i="27" s="1"/>
  <c r="J58" i="27"/>
  <c r="AX57" i="27"/>
  <c r="AW57" i="27"/>
  <c r="AV57" i="27"/>
  <c r="AT57" i="27"/>
  <c r="AS57" i="27"/>
  <c r="AR57" i="27"/>
  <c r="AQ57" i="27"/>
  <c r="AP57" i="27"/>
  <c r="AM57" i="27"/>
  <c r="AL57" i="27"/>
  <c r="AK57" i="27"/>
  <c r="AJ57" i="27"/>
  <c r="AI57" i="27"/>
  <c r="AG57" i="27"/>
  <c r="AF57" i="27"/>
  <c r="AE57" i="27"/>
  <c r="AD57" i="27"/>
  <c r="AC57" i="27"/>
  <c r="AB57" i="27"/>
  <c r="W57" i="27"/>
  <c r="AU57" i="27" s="1"/>
  <c r="P57" i="27"/>
  <c r="AN57" i="27" s="1"/>
  <c r="J57" i="27"/>
  <c r="Q57" i="27" s="1"/>
  <c r="AO57" i="27" s="1"/>
  <c r="AX56" i="27"/>
  <c r="AW56" i="27"/>
  <c r="AV56" i="27"/>
  <c r="AT56" i="27"/>
  <c r="AS56" i="27"/>
  <c r="AR56" i="27"/>
  <c r="AQ56" i="27"/>
  <c r="AP56" i="27"/>
  <c r="AM56" i="27"/>
  <c r="AL56" i="27"/>
  <c r="AK56" i="27"/>
  <c r="AJ56" i="27"/>
  <c r="AI56" i="27"/>
  <c r="AG56" i="27"/>
  <c r="AF56" i="27"/>
  <c r="AE56" i="27"/>
  <c r="AD56" i="27"/>
  <c r="AC56" i="27"/>
  <c r="AB56" i="27"/>
  <c r="Q56" i="27"/>
  <c r="AO56" i="27" s="1"/>
  <c r="P56" i="27"/>
  <c r="AN56" i="27" s="1"/>
  <c r="J56" i="27"/>
  <c r="AH56" i="27" s="1"/>
  <c r="AX55" i="27"/>
  <c r="AW55" i="27"/>
  <c r="AV55" i="27"/>
  <c r="AT55" i="27"/>
  <c r="AS55" i="27"/>
  <c r="AR55" i="27"/>
  <c r="AQ55" i="27"/>
  <c r="AP55" i="27"/>
  <c r="AM55" i="27"/>
  <c r="AL55" i="27"/>
  <c r="AK55" i="27"/>
  <c r="AJ55" i="27"/>
  <c r="AI55" i="27"/>
  <c r="AG55" i="27"/>
  <c r="AF55" i="27"/>
  <c r="AE55" i="27"/>
  <c r="AD55" i="27"/>
  <c r="AC55" i="27"/>
  <c r="AB55" i="27"/>
  <c r="Q55" i="27"/>
  <c r="P55" i="27"/>
  <c r="AN55" i="27" s="1"/>
  <c r="J55" i="27"/>
  <c r="AH55" i="27" s="1"/>
  <c r="AX54" i="27"/>
  <c r="AW54" i="27"/>
  <c r="AV54" i="27"/>
  <c r="AT54" i="27"/>
  <c r="AS54" i="27"/>
  <c r="AR54" i="27"/>
  <c r="AQ54" i="27"/>
  <c r="AP54" i="27"/>
  <c r="AM54" i="27"/>
  <c r="AL54" i="27"/>
  <c r="AK54" i="27"/>
  <c r="AJ54" i="27"/>
  <c r="AI54" i="27"/>
  <c r="AG54" i="27"/>
  <c r="AF54" i="27"/>
  <c r="AE54" i="27"/>
  <c r="AD54" i="27"/>
  <c r="AC54" i="27"/>
  <c r="AB54" i="27"/>
  <c r="P54" i="27"/>
  <c r="AN54" i="27" s="1"/>
  <c r="J54" i="27"/>
  <c r="AX53" i="27"/>
  <c r="AW53" i="27"/>
  <c r="AV53" i="27"/>
  <c r="AT53" i="27"/>
  <c r="AS53" i="27"/>
  <c r="AR53" i="27"/>
  <c r="AQ53" i="27"/>
  <c r="AP53" i="27"/>
  <c r="AM53" i="27"/>
  <c r="AL53" i="27"/>
  <c r="AK53" i="27"/>
  <c r="AJ53" i="27"/>
  <c r="AI53" i="27"/>
  <c r="AG53" i="27"/>
  <c r="AF53" i="27"/>
  <c r="AE53" i="27"/>
  <c r="AD53" i="27"/>
  <c r="AC53" i="27"/>
  <c r="AB53" i="27"/>
  <c r="W53" i="27"/>
  <c r="AU53" i="27" s="1"/>
  <c r="P53" i="27"/>
  <c r="AN53" i="27" s="1"/>
  <c r="J53" i="27"/>
  <c r="Q53" i="27" s="1"/>
  <c r="AO53" i="27" s="1"/>
  <c r="AX52" i="27"/>
  <c r="AW52" i="27"/>
  <c r="AV52" i="27"/>
  <c r="AT52" i="27"/>
  <c r="AS52" i="27"/>
  <c r="AR52" i="27"/>
  <c r="AQ52" i="27"/>
  <c r="AP52" i="27"/>
  <c r="AM52" i="27"/>
  <c r="AL52" i="27"/>
  <c r="AK52" i="27"/>
  <c r="AJ52" i="27"/>
  <c r="AI52" i="27"/>
  <c r="AG52" i="27"/>
  <c r="AF52" i="27"/>
  <c r="AE52" i="27"/>
  <c r="AD52" i="27"/>
  <c r="AC52" i="27"/>
  <c r="AB52" i="27"/>
  <c r="Q52" i="27"/>
  <c r="AO52" i="27" s="1"/>
  <c r="P52" i="27"/>
  <c r="AN52" i="27" s="1"/>
  <c r="J52" i="27"/>
  <c r="AH52" i="27" s="1"/>
  <c r="AX51" i="27"/>
  <c r="AW51" i="27"/>
  <c r="AV51" i="27"/>
  <c r="AT51" i="27"/>
  <c r="AS51" i="27"/>
  <c r="AR51" i="27"/>
  <c r="AQ51" i="27"/>
  <c r="AP51" i="27"/>
  <c r="AM51" i="27"/>
  <c r="AL51" i="27"/>
  <c r="AK51" i="27"/>
  <c r="AJ51" i="27"/>
  <c r="AI51" i="27"/>
  <c r="AG51" i="27"/>
  <c r="AF51" i="27"/>
  <c r="AE51" i="27"/>
  <c r="AC51" i="27"/>
  <c r="AB51" i="27"/>
  <c r="J51" i="27"/>
  <c r="AH51" i="27" s="1"/>
  <c r="F51" i="27"/>
  <c r="AD51" i="27" s="1"/>
  <c r="AX50" i="27"/>
  <c r="AW50" i="27"/>
  <c r="AV50" i="27"/>
  <c r="AT50" i="27"/>
  <c r="AS50" i="27"/>
  <c r="AR50" i="27"/>
  <c r="AQ50" i="27"/>
  <c r="AP50" i="27"/>
  <c r="AM50" i="27"/>
  <c r="AL50" i="27"/>
  <c r="AK50" i="27"/>
  <c r="AJ50" i="27"/>
  <c r="AI50" i="27"/>
  <c r="AG50" i="27"/>
  <c r="AF50" i="27"/>
  <c r="AE50" i="27"/>
  <c r="AD50" i="27"/>
  <c r="AC50" i="27"/>
  <c r="AB50" i="27"/>
  <c r="P50" i="27"/>
  <c r="AN50" i="27" s="1"/>
  <c r="J50" i="27"/>
  <c r="AH50" i="27" s="1"/>
  <c r="F50" i="27"/>
  <c r="AX49" i="27"/>
  <c r="AW49" i="27"/>
  <c r="AV49" i="27"/>
  <c r="AT49" i="27"/>
  <c r="AS49" i="27"/>
  <c r="AR49" i="27"/>
  <c r="AQ49" i="27"/>
  <c r="AP49" i="27"/>
  <c r="AM49" i="27"/>
  <c r="AL49" i="27"/>
  <c r="AK49" i="27"/>
  <c r="AJ49" i="27"/>
  <c r="AI49" i="27"/>
  <c r="AH49" i="27"/>
  <c r="AG49" i="27"/>
  <c r="AF49" i="27"/>
  <c r="AE49" i="27"/>
  <c r="AD49" i="27"/>
  <c r="AC49" i="27"/>
  <c r="AB49" i="27"/>
  <c r="P49" i="27"/>
  <c r="AN49" i="27" s="1"/>
  <c r="J49" i="27"/>
  <c r="F49" i="27"/>
  <c r="AX48" i="27"/>
  <c r="AW48" i="27"/>
  <c r="AV48" i="27"/>
  <c r="AT48" i="27"/>
  <c r="AS48" i="27"/>
  <c r="AR48" i="27"/>
  <c r="AQ48" i="27"/>
  <c r="AP48" i="27"/>
  <c r="AM48" i="27"/>
  <c r="AL48" i="27"/>
  <c r="AK48" i="27"/>
  <c r="AJ48" i="27"/>
  <c r="AI48" i="27"/>
  <c r="AG48" i="27"/>
  <c r="AF48" i="27"/>
  <c r="AE48" i="27"/>
  <c r="AC48" i="27"/>
  <c r="AB48" i="27"/>
  <c r="J48" i="27"/>
  <c r="AH48" i="27" s="1"/>
  <c r="F48" i="27"/>
  <c r="AD48" i="27" s="1"/>
  <c r="AX47" i="27"/>
  <c r="AW47" i="27"/>
  <c r="AV47" i="27"/>
  <c r="AT47" i="27"/>
  <c r="AS47" i="27"/>
  <c r="AR47" i="27"/>
  <c r="AQ47" i="27"/>
  <c r="AP47" i="27"/>
  <c r="AM47" i="27"/>
  <c r="AL47" i="27"/>
  <c r="AK47" i="27"/>
  <c r="AJ47" i="27"/>
  <c r="AI47" i="27"/>
  <c r="AG47" i="27"/>
  <c r="AF47" i="27"/>
  <c r="AE47" i="27"/>
  <c r="AD47" i="27"/>
  <c r="AC47" i="27"/>
  <c r="AB47" i="27"/>
  <c r="P47" i="27"/>
  <c r="AN47" i="27" s="1"/>
  <c r="J47" i="27"/>
  <c r="AH47" i="27" s="1"/>
  <c r="F47" i="27"/>
  <c r="AX46" i="27"/>
  <c r="AW46" i="27"/>
  <c r="AV46" i="27"/>
  <c r="AT46" i="27"/>
  <c r="AS46" i="27"/>
  <c r="AR46" i="27"/>
  <c r="AQ46" i="27"/>
  <c r="AP46" i="27"/>
  <c r="AO46" i="27"/>
  <c r="AM46" i="27"/>
  <c r="AL46" i="27"/>
  <c r="AK46" i="27"/>
  <c r="AJ46" i="27"/>
  <c r="AI46" i="27"/>
  <c r="AH46" i="27"/>
  <c r="AG46" i="27"/>
  <c r="AF46" i="27"/>
  <c r="AE46" i="27"/>
  <c r="AD46" i="27"/>
  <c r="AC46" i="27"/>
  <c r="AB46" i="27"/>
  <c r="P46" i="27"/>
  <c r="AN46" i="27" s="1"/>
  <c r="J46" i="27"/>
  <c r="Q46" i="27" s="1"/>
  <c r="W46" i="27" s="1"/>
  <c r="AU46" i="27" s="1"/>
  <c r="F46" i="27"/>
  <c r="AX45" i="27"/>
  <c r="AW45" i="27"/>
  <c r="AV45" i="27"/>
  <c r="AT45" i="27"/>
  <c r="AS45" i="27"/>
  <c r="AR45" i="27"/>
  <c r="AQ45" i="27"/>
  <c r="AP45" i="27"/>
  <c r="AM45" i="27"/>
  <c r="AL45" i="27"/>
  <c r="AK45" i="27"/>
  <c r="AJ45" i="27"/>
  <c r="AI45" i="27"/>
  <c r="AG45" i="27"/>
  <c r="AF45" i="27"/>
  <c r="AE45" i="27"/>
  <c r="AC45" i="27"/>
  <c r="AB45" i="27"/>
  <c r="J45" i="27"/>
  <c r="AH45" i="27" s="1"/>
  <c r="F45" i="27"/>
  <c r="AD45" i="27" s="1"/>
  <c r="AX44" i="27"/>
  <c r="AW44" i="27"/>
  <c r="AV44" i="27"/>
  <c r="AT44" i="27"/>
  <c r="AS44" i="27"/>
  <c r="AR44" i="27"/>
  <c r="AQ44" i="27"/>
  <c r="AP44" i="27"/>
  <c r="AM44" i="27"/>
  <c r="AL44" i="27"/>
  <c r="AK44" i="27"/>
  <c r="AJ44" i="27"/>
  <c r="AI44" i="27"/>
  <c r="AG44" i="27"/>
  <c r="AF44" i="27"/>
  <c r="AE44" i="27"/>
  <c r="AD44" i="27"/>
  <c r="AC44" i="27"/>
  <c r="AB44" i="27"/>
  <c r="P44" i="27"/>
  <c r="J44" i="27"/>
  <c r="AH44" i="27" s="1"/>
  <c r="F44" i="27"/>
  <c r="AX43" i="27"/>
  <c r="AW43" i="27"/>
  <c r="AV43" i="27"/>
  <c r="AT43" i="27"/>
  <c r="AS43" i="27"/>
  <c r="AR43" i="27"/>
  <c r="AQ43" i="27"/>
  <c r="AP43" i="27"/>
  <c r="AO43" i="27"/>
  <c r="AM43" i="27"/>
  <c r="AL43" i="27"/>
  <c r="AK43" i="27"/>
  <c r="AJ43" i="27"/>
  <c r="AI43" i="27"/>
  <c r="AG43" i="27"/>
  <c r="AF43" i="27"/>
  <c r="AE43" i="27"/>
  <c r="AD43" i="27"/>
  <c r="AC43" i="27"/>
  <c r="AB43" i="27"/>
  <c r="P43" i="27"/>
  <c r="AN43" i="27" s="1"/>
  <c r="J43" i="27"/>
  <c r="Q43" i="27" s="1"/>
  <c r="W43" i="27" s="1"/>
  <c r="AU43" i="27" s="1"/>
  <c r="F43" i="27"/>
  <c r="AX42" i="27"/>
  <c r="AW42" i="27"/>
  <c r="AV42" i="27"/>
  <c r="AT42" i="27"/>
  <c r="AS42" i="27"/>
  <c r="AR42" i="27"/>
  <c r="AQ42" i="27"/>
  <c r="AP42" i="27"/>
  <c r="AN42" i="27"/>
  <c r="AM42" i="27"/>
  <c r="AL42" i="27"/>
  <c r="AK42" i="27"/>
  <c r="AJ42" i="27"/>
  <c r="AI42" i="27"/>
  <c r="AG42" i="27"/>
  <c r="AF42" i="27"/>
  <c r="AE42" i="27"/>
  <c r="AD42" i="27"/>
  <c r="AC42" i="27"/>
  <c r="AB42" i="27"/>
  <c r="P42" i="27"/>
  <c r="J42" i="27"/>
  <c r="Q42" i="27" s="1"/>
  <c r="AX41" i="27"/>
  <c r="AW41" i="27"/>
  <c r="AV41" i="27"/>
  <c r="AT41" i="27"/>
  <c r="AS41" i="27"/>
  <c r="AR41" i="27"/>
  <c r="AQ41" i="27"/>
  <c r="AP41" i="27"/>
  <c r="AM41" i="27"/>
  <c r="AL41" i="27"/>
  <c r="AK41" i="27"/>
  <c r="AJ41" i="27"/>
  <c r="AI41" i="27"/>
  <c r="AH41" i="27"/>
  <c r="AG41" i="27"/>
  <c r="AF41" i="27"/>
  <c r="AE41" i="27"/>
  <c r="AD41" i="27"/>
  <c r="AC41" i="27"/>
  <c r="AB41" i="27"/>
  <c r="W41" i="27"/>
  <c r="AU41" i="27" s="1"/>
  <c r="Q41" i="27"/>
  <c r="AO41" i="27" s="1"/>
  <c r="P41" i="27"/>
  <c r="AN41" i="27" s="1"/>
  <c r="J41" i="27"/>
  <c r="AX40" i="27"/>
  <c r="AW40" i="27"/>
  <c r="AV40" i="27"/>
  <c r="AT40" i="27"/>
  <c r="AS40" i="27"/>
  <c r="AR40" i="27"/>
  <c r="AQ40" i="27"/>
  <c r="AP40" i="27"/>
  <c r="AM40" i="27"/>
  <c r="AL40" i="27"/>
  <c r="AK40" i="27"/>
  <c r="AJ40" i="27"/>
  <c r="AI40" i="27"/>
  <c r="AG40" i="27"/>
  <c r="AF40" i="27"/>
  <c r="AE40" i="27"/>
  <c r="AD40" i="27"/>
  <c r="AC40" i="27"/>
  <c r="AB40" i="27"/>
  <c r="P40" i="27"/>
  <c r="AN40" i="27" s="1"/>
  <c r="J40" i="27"/>
  <c r="AH40" i="27" s="1"/>
  <c r="AX39" i="27"/>
  <c r="AW39" i="27"/>
  <c r="AV39" i="27"/>
  <c r="AT39" i="27"/>
  <c r="AS39" i="27"/>
  <c r="AR39" i="27"/>
  <c r="AQ39" i="27"/>
  <c r="AP39" i="27"/>
  <c r="AN39" i="27"/>
  <c r="AM39" i="27"/>
  <c r="AL39" i="27"/>
  <c r="AK39" i="27"/>
  <c r="AJ39" i="27"/>
  <c r="AI39" i="27"/>
  <c r="AG39" i="27"/>
  <c r="AF39" i="27"/>
  <c r="AE39" i="27"/>
  <c r="AD39" i="27"/>
  <c r="AC39" i="27"/>
  <c r="AB39" i="27"/>
  <c r="Q39" i="27"/>
  <c r="AO39" i="27" s="1"/>
  <c r="P39" i="27"/>
  <c r="J39" i="27"/>
  <c r="AH39" i="27" s="1"/>
  <c r="AX38" i="27"/>
  <c r="AW38" i="27"/>
  <c r="AV38" i="27"/>
  <c r="AT38" i="27"/>
  <c r="AS38" i="27"/>
  <c r="AR38" i="27"/>
  <c r="AQ38" i="27"/>
  <c r="AP38" i="27"/>
  <c r="AM38" i="27"/>
  <c r="AL38" i="27"/>
  <c r="AK38" i="27"/>
  <c r="AJ38" i="27"/>
  <c r="AI38" i="27"/>
  <c r="AG38" i="27"/>
  <c r="AF38" i="27"/>
  <c r="AE38" i="27"/>
  <c r="AD38" i="27"/>
  <c r="AC38" i="27"/>
  <c r="AB38" i="27"/>
  <c r="J38" i="27"/>
  <c r="F38" i="27"/>
  <c r="P38" i="27" s="1"/>
  <c r="AN38" i="27" s="1"/>
  <c r="AX37" i="27"/>
  <c r="AW37" i="27"/>
  <c r="AV37" i="27"/>
  <c r="AT37" i="27"/>
  <c r="AS37" i="27"/>
  <c r="AR37" i="27"/>
  <c r="AQ37" i="27"/>
  <c r="AP37" i="27"/>
  <c r="AM37" i="27"/>
  <c r="AL37" i="27"/>
  <c r="AK37" i="27"/>
  <c r="AJ37" i="27"/>
  <c r="AI37" i="27"/>
  <c r="AH37" i="27"/>
  <c r="AG37" i="27"/>
  <c r="AF37" i="27"/>
  <c r="AE37" i="27"/>
  <c r="AC37" i="27"/>
  <c r="AB37" i="27"/>
  <c r="J37" i="27"/>
  <c r="F37" i="27"/>
  <c r="AD37" i="27" s="1"/>
  <c r="AX36" i="27"/>
  <c r="AW36" i="27"/>
  <c r="AV36" i="27"/>
  <c r="AT36" i="27"/>
  <c r="AS36" i="27"/>
  <c r="AR36" i="27"/>
  <c r="AQ36" i="27"/>
  <c r="AP36" i="27"/>
  <c r="AM36" i="27"/>
  <c r="AL36" i="27"/>
  <c r="AK36" i="27"/>
  <c r="AJ36" i="27"/>
  <c r="AI36" i="27"/>
  <c r="AG36" i="27"/>
  <c r="AF36" i="27"/>
  <c r="AE36" i="27"/>
  <c r="AD36" i="27"/>
  <c r="AC36" i="27"/>
  <c r="AB36" i="27"/>
  <c r="P36" i="27"/>
  <c r="AN36" i="27" s="1"/>
  <c r="J36" i="27"/>
  <c r="AH36" i="27" s="1"/>
  <c r="AX35" i="27"/>
  <c r="AW35" i="27"/>
  <c r="AV35" i="27"/>
  <c r="AT35" i="27"/>
  <c r="AS35" i="27"/>
  <c r="AR35" i="27"/>
  <c r="AQ35" i="27"/>
  <c r="AP35" i="27"/>
  <c r="AO35" i="27"/>
  <c r="AN35" i="27"/>
  <c r="AM35" i="27"/>
  <c r="AL35" i="27"/>
  <c r="AK35" i="27"/>
  <c r="AJ35" i="27"/>
  <c r="AI35" i="27"/>
  <c r="AH35" i="27"/>
  <c r="AG35" i="27"/>
  <c r="AF35" i="27"/>
  <c r="AE35" i="27"/>
  <c r="AD35" i="27"/>
  <c r="AC35" i="27"/>
  <c r="AB35" i="27"/>
  <c r="Q35" i="27"/>
  <c r="W35" i="27" s="1"/>
  <c r="AU35" i="27" s="1"/>
  <c r="P35" i="27"/>
  <c r="J35" i="27"/>
  <c r="AX34" i="27"/>
  <c r="AW34" i="27"/>
  <c r="AV34" i="27"/>
  <c r="AT34" i="27"/>
  <c r="AS34" i="27"/>
  <c r="AR34" i="27"/>
  <c r="AQ34" i="27"/>
  <c r="AP34" i="27"/>
  <c r="AM34" i="27"/>
  <c r="AL34" i="27"/>
  <c r="AK34" i="27"/>
  <c r="AJ34" i="27"/>
  <c r="AI34" i="27"/>
  <c r="AH34" i="27"/>
  <c r="AG34" i="27"/>
  <c r="AF34" i="27"/>
  <c r="AE34" i="27"/>
  <c r="AD34" i="27"/>
  <c r="AC34" i="27"/>
  <c r="AB34" i="27"/>
  <c r="Q34" i="27"/>
  <c r="AO34" i="27" s="1"/>
  <c r="P34" i="27"/>
  <c r="AN34" i="27" s="1"/>
  <c r="J34" i="27"/>
  <c r="AX33" i="27"/>
  <c r="AW33" i="27"/>
  <c r="AV33" i="27"/>
  <c r="AT33" i="27"/>
  <c r="AS33" i="27"/>
  <c r="AR33" i="27"/>
  <c r="AQ33" i="27"/>
  <c r="AP33" i="27"/>
  <c r="AN33" i="27"/>
  <c r="AM33" i="27"/>
  <c r="AL33" i="27"/>
  <c r="AK33" i="27"/>
  <c r="AJ33" i="27"/>
  <c r="AI33" i="27"/>
  <c r="AH33" i="27"/>
  <c r="AG33" i="27"/>
  <c r="AF33" i="27"/>
  <c r="AE33" i="27"/>
  <c r="AD33" i="27"/>
  <c r="AC33" i="27"/>
  <c r="AB33" i="27"/>
  <c r="P33" i="27"/>
  <c r="J33" i="27"/>
  <c r="Q33" i="27" s="1"/>
  <c r="AX32" i="27"/>
  <c r="AW32" i="27"/>
  <c r="AV32" i="27"/>
  <c r="AT32" i="27"/>
  <c r="AS32" i="27"/>
  <c r="AR32" i="27"/>
  <c r="AQ32" i="27"/>
  <c r="AP32" i="27"/>
  <c r="AM32" i="27"/>
  <c r="AL32" i="27"/>
  <c r="AK32" i="27"/>
  <c r="AJ32" i="27"/>
  <c r="AI32" i="27"/>
  <c r="AG32" i="27"/>
  <c r="AF32" i="27"/>
  <c r="AE32" i="27"/>
  <c r="AC32" i="27"/>
  <c r="AB32" i="27"/>
  <c r="P32" i="27"/>
  <c r="AN32" i="27" s="1"/>
  <c r="J32" i="27"/>
  <c r="AH32" i="27" s="1"/>
  <c r="F32" i="27"/>
  <c r="AD32" i="27" s="1"/>
  <c r="AX31" i="27"/>
  <c r="AW31" i="27"/>
  <c r="AV31" i="27"/>
  <c r="AT31" i="27"/>
  <c r="AS31" i="27"/>
  <c r="AR31" i="27"/>
  <c r="AQ31" i="27"/>
  <c r="AP31" i="27"/>
  <c r="AM31" i="27"/>
  <c r="AL31" i="27"/>
  <c r="AK31" i="27"/>
  <c r="AJ31" i="27"/>
  <c r="AI31" i="27"/>
  <c r="AG31" i="27"/>
  <c r="AF31" i="27"/>
  <c r="AE31" i="27"/>
  <c r="AD31" i="27"/>
  <c r="AC31" i="27"/>
  <c r="AB31" i="27"/>
  <c r="J31" i="27"/>
  <c r="Q31" i="27" s="1"/>
  <c r="F31" i="27"/>
  <c r="P31" i="27" s="1"/>
  <c r="AN31" i="27" s="1"/>
  <c r="AX30" i="27"/>
  <c r="AW30" i="27"/>
  <c r="AV30" i="27"/>
  <c r="AT30" i="27"/>
  <c r="AS30" i="27"/>
  <c r="AR30" i="27"/>
  <c r="AQ30" i="27"/>
  <c r="AP30" i="27"/>
  <c r="AN30" i="27"/>
  <c r="AM30" i="27"/>
  <c r="AL30" i="27"/>
  <c r="AK30" i="27"/>
  <c r="AJ30" i="27"/>
  <c r="AI30" i="27"/>
  <c r="AH30" i="27"/>
  <c r="AG30" i="27"/>
  <c r="AF30" i="27"/>
  <c r="AE30" i="27"/>
  <c r="AD30" i="27"/>
  <c r="AC30" i="27"/>
  <c r="AB30" i="27"/>
  <c r="P30" i="27"/>
  <c r="J30" i="27"/>
  <c r="Q30" i="27" s="1"/>
  <c r="AX29" i="27"/>
  <c r="AW29" i="27"/>
  <c r="AV29" i="27"/>
  <c r="AT29" i="27"/>
  <c r="AS29" i="27"/>
  <c r="AR29" i="27"/>
  <c r="AQ29" i="27"/>
  <c r="AP29" i="27"/>
  <c r="AM29" i="27"/>
  <c r="AL29" i="27"/>
  <c r="AK29" i="27"/>
  <c r="AJ29" i="27"/>
  <c r="AI29" i="27"/>
  <c r="AG29" i="27"/>
  <c r="AF29" i="27"/>
  <c r="AE29" i="27"/>
  <c r="AD29" i="27"/>
  <c r="AC29" i="27"/>
  <c r="AB29" i="27"/>
  <c r="P29" i="27"/>
  <c r="AN29" i="27" s="1"/>
  <c r="J29" i="27"/>
  <c r="AH29" i="27" s="1"/>
  <c r="AX28" i="27"/>
  <c r="AW28" i="27"/>
  <c r="AV28" i="27"/>
  <c r="AT28" i="27"/>
  <c r="AS28" i="27"/>
  <c r="AR28" i="27"/>
  <c r="AQ28" i="27"/>
  <c r="AP28" i="27"/>
  <c r="AN28" i="27"/>
  <c r="AM28" i="27"/>
  <c r="AL28" i="27"/>
  <c r="AK28" i="27"/>
  <c r="AJ28" i="27"/>
  <c r="AI28" i="27"/>
  <c r="AH28" i="27"/>
  <c r="AG28" i="27"/>
  <c r="AF28" i="27"/>
  <c r="AE28" i="27"/>
  <c r="AD28" i="27"/>
  <c r="AC28" i="27"/>
  <c r="AB28" i="27"/>
  <c r="P28" i="27"/>
  <c r="Q28" i="27" s="1"/>
  <c r="J28" i="27"/>
  <c r="AX27" i="27"/>
  <c r="AW27" i="27"/>
  <c r="AV27" i="27"/>
  <c r="AT27" i="27"/>
  <c r="AS27" i="27"/>
  <c r="AR27" i="27"/>
  <c r="AQ27" i="27"/>
  <c r="AP27" i="27"/>
  <c r="AM27" i="27"/>
  <c r="AL27" i="27"/>
  <c r="AK27" i="27"/>
  <c r="AJ27" i="27"/>
  <c r="AI27" i="27"/>
  <c r="AG27" i="27"/>
  <c r="AF27" i="27"/>
  <c r="AE27" i="27"/>
  <c r="AD27" i="27"/>
  <c r="AC27" i="27"/>
  <c r="AB27" i="27"/>
  <c r="P27" i="27"/>
  <c r="AN27" i="27" s="1"/>
  <c r="J27" i="27"/>
  <c r="Q27" i="27" s="1"/>
  <c r="AX26" i="27"/>
  <c r="AW26" i="27"/>
  <c r="AV26" i="27"/>
  <c r="AT26" i="27"/>
  <c r="AS26" i="27"/>
  <c r="AR26" i="27"/>
  <c r="AQ26" i="27"/>
  <c r="AP26" i="27"/>
  <c r="AM26" i="27"/>
  <c r="AL26" i="27"/>
  <c r="AK26" i="27"/>
  <c r="AJ26" i="27"/>
  <c r="AI26" i="27"/>
  <c r="AH26" i="27"/>
  <c r="AG26" i="27"/>
  <c r="AF26" i="27"/>
  <c r="AE26" i="27"/>
  <c r="AC26" i="27"/>
  <c r="AB26" i="27"/>
  <c r="J26" i="27"/>
  <c r="F26" i="27"/>
  <c r="AD26" i="27" s="1"/>
  <c r="AX25" i="27"/>
  <c r="AW25" i="27"/>
  <c r="AV25" i="27"/>
  <c r="AT25" i="27"/>
  <c r="AS25" i="27"/>
  <c r="AR25" i="27"/>
  <c r="AQ25" i="27"/>
  <c r="AP25" i="27"/>
  <c r="AM25" i="27"/>
  <c r="AL25" i="27"/>
  <c r="AK25" i="27"/>
  <c r="AJ25" i="27"/>
  <c r="AI25" i="27"/>
  <c r="AG25" i="27"/>
  <c r="AF25" i="27"/>
  <c r="AE25" i="27"/>
  <c r="AC25" i="27"/>
  <c r="AB25" i="27"/>
  <c r="P25" i="27"/>
  <c r="AN25" i="27" s="1"/>
  <c r="J25" i="27"/>
  <c r="AH25" i="27" s="1"/>
  <c r="F25" i="27"/>
  <c r="AD25" i="27" s="1"/>
  <c r="AX24" i="27"/>
  <c r="AW24" i="27"/>
  <c r="AV24" i="27"/>
  <c r="AT24" i="27"/>
  <c r="AS24" i="27"/>
  <c r="AR24" i="27"/>
  <c r="AQ24" i="27"/>
  <c r="AP24" i="27"/>
  <c r="AN24" i="27"/>
  <c r="AM24" i="27"/>
  <c r="AL24" i="27"/>
  <c r="AK24" i="27"/>
  <c r="AJ24" i="27"/>
  <c r="AI24" i="27"/>
  <c r="AG24" i="27"/>
  <c r="AF24" i="27"/>
  <c r="AE24" i="27"/>
  <c r="AD24" i="27"/>
  <c r="AC24" i="27"/>
  <c r="AB24" i="27"/>
  <c r="P24" i="27"/>
  <c r="J24" i="27"/>
  <c r="Q24" i="27" s="1"/>
  <c r="AX23" i="27"/>
  <c r="AW23" i="27"/>
  <c r="AV23" i="27"/>
  <c r="AT23" i="27"/>
  <c r="AS23" i="27"/>
  <c r="AR23" i="27"/>
  <c r="AQ23" i="27"/>
  <c r="AP23" i="27"/>
  <c r="AM23" i="27"/>
  <c r="AL23" i="27"/>
  <c r="AK23" i="27"/>
  <c r="AJ23" i="27"/>
  <c r="AI23" i="27"/>
  <c r="AH23" i="27"/>
  <c r="AG23" i="27"/>
  <c r="AF23" i="27"/>
  <c r="AE23" i="27"/>
  <c r="AD23" i="27"/>
  <c r="AC23" i="27"/>
  <c r="AB23" i="27"/>
  <c r="W23" i="27"/>
  <c r="AU23" i="27" s="1"/>
  <c r="Q23" i="27"/>
  <c r="AO23" i="27" s="1"/>
  <c r="P23" i="27"/>
  <c r="AN23" i="27" s="1"/>
  <c r="J23" i="27"/>
  <c r="AX22" i="27"/>
  <c r="AW22" i="27"/>
  <c r="AV22" i="27"/>
  <c r="AT22" i="27"/>
  <c r="AS22" i="27"/>
  <c r="AR22" i="27"/>
  <c r="AQ22" i="27"/>
  <c r="AP22" i="27"/>
  <c r="AM22" i="27"/>
  <c r="AL22" i="27"/>
  <c r="AK22" i="27"/>
  <c r="AJ22" i="27"/>
  <c r="AI22" i="27"/>
  <c r="AG22" i="27"/>
  <c r="AF22" i="27"/>
  <c r="AE22" i="27"/>
  <c r="AD22" i="27"/>
  <c r="AC22" i="27"/>
  <c r="AB22" i="27"/>
  <c r="P22" i="27"/>
  <c r="AN22" i="27" s="1"/>
  <c r="J22" i="27"/>
  <c r="AH22" i="27" s="1"/>
  <c r="AX21" i="27"/>
  <c r="AW21" i="27"/>
  <c r="AV21" i="27"/>
  <c r="AT21" i="27"/>
  <c r="AS21" i="27"/>
  <c r="AR21" i="27"/>
  <c r="AQ21" i="27"/>
  <c r="AP21" i="27"/>
  <c r="AM21" i="27"/>
  <c r="AL21" i="27"/>
  <c r="AK21" i="27"/>
  <c r="AJ21" i="27"/>
  <c r="AI21" i="27"/>
  <c r="AG21" i="27"/>
  <c r="AF21" i="27"/>
  <c r="AE21" i="27"/>
  <c r="AD21" i="27"/>
  <c r="AC21" i="27"/>
  <c r="AB21" i="27"/>
  <c r="Q21" i="27"/>
  <c r="AO21" i="27" s="1"/>
  <c r="P21" i="27"/>
  <c r="AN21" i="27" s="1"/>
  <c r="J21" i="27"/>
  <c r="AH21" i="27" s="1"/>
  <c r="AX20" i="27"/>
  <c r="AW20" i="27"/>
  <c r="AV20" i="27"/>
  <c r="AT20" i="27"/>
  <c r="AS20" i="27"/>
  <c r="AR20" i="27"/>
  <c r="AQ20" i="27"/>
  <c r="AP20" i="27"/>
  <c r="AN20" i="27"/>
  <c r="AM20" i="27"/>
  <c r="AL20" i="27"/>
  <c r="AK20" i="27"/>
  <c r="AJ20" i="27"/>
  <c r="AI20" i="27"/>
  <c r="AG20" i="27"/>
  <c r="AF20" i="27"/>
  <c r="AE20" i="27"/>
  <c r="AD20" i="27"/>
  <c r="AC20" i="27"/>
  <c r="AB20" i="27"/>
  <c r="P20" i="27"/>
  <c r="J20" i="27"/>
  <c r="Q20" i="27" s="1"/>
  <c r="AX19" i="27"/>
  <c r="AW19" i="27"/>
  <c r="AV19" i="27"/>
  <c r="AT19" i="27"/>
  <c r="AS19" i="27"/>
  <c r="AR19" i="27"/>
  <c r="AQ19" i="27"/>
  <c r="AP19" i="27"/>
  <c r="AM19" i="27"/>
  <c r="AL19" i="27"/>
  <c r="AK19" i="27"/>
  <c r="AJ19" i="27"/>
  <c r="AI19" i="27"/>
  <c r="AH19" i="27"/>
  <c r="AG19" i="27"/>
  <c r="AF19" i="27"/>
  <c r="AE19" i="27"/>
  <c r="AD19" i="27"/>
  <c r="AC19" i="27"/>
  <c r="AB19" i="27"/>
  <c r="W19" i="27"/>
  <c r="AU19" i="27" s="1"/>
  <c r="Q19" i="27"/>
  <c r="AO19" i="27" s="1"/>
  <c r="P19" i="27"/>
  <c r="AN19" i="27" s="1"/>
  <c r="J19" i="27"/>
  <c r="AX18" i="27"/>
  <c r="AW18" i="27"/>
  <c r="AV18" i="27"/>
  <c r="AT18" i="27"/>
  <c r="AS18" i="27"/>
  <c r="AR18" i="27"/>
  <c r="AQ18" i="27"/>
  <c r="AP18" i="27"/>
  <c r="AM18" i="27"/>
  <c r="AL18" i="27"/>
  <c r="AK18" i="27"/>
  <c r="AJ18" i="27"/>
  <c r="AI18" i="27"/>
  <c r="AG18" i="27"/>
  <c r="AF18" i="27"/>
  <c r="AE18" i="27"/>
  <c r="AD18" i="27"/>
  <c r="AC18" i="27"/>
  <c r="AB18" i="27"/>
  <c r="P18" i="27"/>
  <c r="AN18" i="27" s="1"/>
  <c r="J18" i="27"/>
  <c r="AH18" i="27" s="1"/>
  <c r="AX17" i="27"/>
  <c r="AW17" i="27"/>
  <c r="AV17" i="27"/>
  <c r="AT17" i="27"/>
  <c r="AS17" i="27"/>
  <c r="AR17" i="27"/>
  <c r="AQ17" i="27"/>
  <c r="AP17" i="27"/>
  <c r="AM17" i="27"/>
  <c r="AL17" i="27"/>
  <c r="AK17" i="27"/>
  <c r="AJ17" i="27"/>
  <c r="AI17" i="27"/>
  <c r="AG17" i="27"/>
  <c r="AF17" i="27"/>
  <c r="AE17" i="27"/>
  <c r="AD17" i="27"/>
  <c r="AC17" i="27"/>
  <c r="AB17" i="27"/>
  <c r="Q17" i="27"/>
  <c r="W17" i="27" s="1"/>
  <c r="AU17" i="27" s="1"/>
  <c r="P17" i="27"/>
  <c r="AN17" i="27" s="1"/>
  <c r="J17" i="27"/>
  <c r="AH17" i="27" s="1"/>
  <c r="AX16" i="27"/>
  <c r="AW16" i="27"/>
  <c r="AV16" i="27"/>
  <c r="AT16" i="27"/>
  <c r="AS16" i="27"/>
  <c r="AR16" i="27"/>
  <c r="AQ16" i="27"/>
  <c r="AP16" i="27"/>
  <c r="AN16" i="27"/>
  <c r="AM16" i="27"/>
  <c r="AL16" i="27"/>
  <c r="AK16" i="27"/>
  <c r="AJ16" i="27"/>
  <c r="AI16" i="27"/>
  <c r="AG16" i="27"/>
  <c r="AF16" i="27"/>
  <c r="AE16" i="27"/>
  <c r="AD16" i="27"/>
  <c r="AC16" i="27"/>
  <c r="AB16" i="27"/>
  <c r="P16" i="27"/>
  <c r="J16" i="27"/>
  <c r="Q16" i="27" s="1"/>
  <c r="AX15" i="27"/>
  <c r="AW15" i="27"/>
  <c r="AV15" i="27"/>
  <c r="AT15" i="27"/>
  <c r="AS15" i="27"/>
  <c r="AR15" i="27"/>
  <c r="AQ15" i="27"/>
  <c r="AP15" i="27"/>
  <c r="AM15" i="27"/>
  <c r="AL15" i="27"/>
  <c r="AK15" i="27"/>
  <c r="AJ15" i="27"/>
  <c r="AI15" i="27"/>
  <c r="AH15" i="27"/>
  <c r="AG15" i="27"/>
  <c r="AF15" i="27"/>
  <c r="AE15" i="27"/>
  <c r="AD15" i="27"/>
  <c r="AC15" i="27"/>
  <c r="AB15" i="27"/>
  <c r="Q15" i="27"/>
  <c r="AO15" i="27" s="1"/>
  <c r="P15" i="27"/>
  <c r="AN15" i="27" s="1"/>
  <c r="J15" i="27"/>
  <c r="AX14" i="27"/>
  <c r="AW14" i="27"/>
  <c r="AV14" i="27"/>
  <c r="AT14" i="27"/>
  <c r="AS14" i="27"/>
  <c r="AR14" i="27"/>
  <c r="AQ14" i="27"/>
  <c r="AP14" i="27"/>
  <c r="AM14" i="27"/>
  <c r="AL14" i="27"/>
  <c r="AK14" i="27"/>
  <c r="AJ14" i="27"/>
  <c r="AI14" i="27"/>
  <c r="AG14" i="27"/>
  <c r="AF14" i="27"/>
  <c r="AE14" i="27"/>
  <c r="AD14" i="27"/>
  <c r="AC14" i="27"/>
  <c r="AB14" i="27"/>
  <c r="P14" i="27"/>
  <c r="AN14" i="27" s="1"/>
  <c r="J14" i="27"/>
  <c r="AH14" i="27" s="1"/>
  <c r="AX13" i="27"/>
  <c r="AW13" i="27"/>
  <c r="AV13" i="27"/>
  <c r="AT13" i="27"/>
  <c r="AS13" i="27"/>
  <c r="AR13" i="27"/>
  <c r="AQ13" i="27"/>
  <c r="AP13" i="27"/>
  <c r="AM13" i="27"/>
  <c r="AL13" i="27"/>
  <c r="AK13" i="27"/>
  <c r="AJ13" i="27"/>
  <c r="AI13" i="27"/>
  <c r="AG13" i="27"/>
  <c r="AF13" i="27"/>
  <c r="AE13" i="27"/>
  <c r="AD13" i="27"/>
  <c r="AC13" i="27"/>
  <c r="AB13" i="27"/>
  <c r="Q13" i="27"/>
  <c r="W13" i="27" s="1"/>
  <c r="AU13" i="27" s="1"/>
  <c r="P13" i="27"/>
  <c r="AN13" i="27" s="1"/>
  <c r="J13" i="27"/>
  <c r="AH13" i="27" s="1"/>
  <c r="AX12" i="27"/>
  <c r="AW12" i="27"/>
  <c r="AV12" i="27"/>
  <c r="AT12" i="27"/>
  <c r="AS12" i="27"/>
  <c r="AR12" i="27"/>
  <c r="AQ12" i="27"/>
  <c r="AP12" i="27"/>
  <c r="AN12" i="27"/>
  <c r="AM12" i="27"/>
  <c r="AL12" i="27"/>
  <c r="AK12" i="27"/>
  <c r="AJ12" i="27"/>
  <c r="AI12" i="27"/>
  <c r="AG12" i="27"/>
  <c r="AF12" i="27"/>
  <c r="AE12" i="27"/>
  <c r="AD12" i="27"/>
  <c r="AC12" i="27"/>
  <c r="AB12" i="27"/>
  <c r="P12" i="27"/>
  <c r="J12" i="27"/>
  <c r="Q12" i="27" s="1"/>
  <c r="AX11" i="27"/>
  <c r="AW11" i="27"/>
  <c r="AV11" i="27"/>
  <c r="AT11" i="27"/>
  <c r="AS11" i="27"/>
  <c r="AR11" i="27"/>
  <c r="AQ11" i="27"/>
  <c r="AP11" i="27"/>
  <c r="AM11" i="27"/>
  <c r="AL11" i="27"/>
  <c r="AK11" i="27"/>
  <c r="AJ11" i="27"/>
  <c r="AI11" i="27"/>
  <c r="AH11" i="27"/>
  <c r="AG11" i="27"/>
  <c r="AF11" i="27"/>
  <c r="AE11" i="27"/>
  <c r="AD11" i="27"/>
  <c r="AC11" i="27"/>
  <c r="AB11" i="27"/>
  <c r="Q11" i="27"/>
  <c r="AO11" i="27" s="1"/>
  <c r="P11" i="27"/>
  <c r="AN11" i="27" s="1"/>
  <c r="J11" i="27"/>
  <c r="AX10" i="27"/>
  <c r="AW10" i="27"/>
  <c r="AV10" i="27"/>
  <c r="AT10" i="27"/>
  <c r="AS10" i="27"/>
  <c r="AR10" i="27"/>
  <c r="AQ10" i="27"/>
  <c r="AP10" i="27"/>
  <c r="AM10" i="27"/>
  <c r="AL10" i="27"/>
  <c r="AK10" i="27"/>
  <c r="AJ10" i="27"/>
  <c r="AI10" i="27"/>
  <c r="AG10" i="27"/>
  <c r="AF10" i="27"/>
  <c r="AE10" i="27"/>
  <c r="AD10" i="27"/>
  <c r="AC10" i="27"/>
  <c r="AB10" i="27"/>
  <c r="P10" i="27"/>
  <c r="AN10" i="27" s="1"/>
  <c r="J10" i="27"/>
  <c r="AH10" i="27" s="1"/>
  <c r="AX9" i="27"/>
  <c r="AW9" i="27"/>
  <c r="AV9" i="27"/>
  <c r="AT9" i="27"/>
  <c r="AS9" i="27"/>
  <c r="AR9" i="27"/>
  <c r="AQ9" i="27"/>
  <c r="AP9" i="27"/>
  <c r="AM9" i="27"/>
  <c r="AL9" i="27"/>
  <c r="AK9" i="27"/>
  <c r="AJ9" i="27"/>
  <c r="AI9" i="27"/>
  <c r="AG9" i="27"/>
  <c r="AF9" i="27"/>
  <c r="AE9" i="27"/>
  <c r="AD9" i="27"/>
  <c r="AC9" i="27"/>
  <c r="AB9" i="27"/>
  <c r="Q9" i="27"/>
  <c r="W9" i="27" s="1"/>
  <c r="AU9" i="27" s="1"/>
  <c r="P9" i="27"/>
  <c r="AN9" i="27" s="1"/>
  <c r="J9" i="27"/>
  <c r="AH9" i="27" s="1"/>
  <c r="AX8" i="27"/>
  <c r="AW8" i="27"/>
  <c r="AV8" i="27"/>
  <c r="AT8" i="27"/>
  <c r="AS8" i="27"/>
  <c r="AR8" i="27"/>
  <c r="AQ8" i="27"/>
  <c r="AP8" i="27"/>
  <c r="AN8" i="27"/>
  <c r="AM8" i="27"/>
  <c r="AL8" i="27"/>
  <c r="AK8" i="27"/>
  <c r="AJ8" i="27"/>
  <c r="AI8" i="27"/>
  <c r="AG8" i="27"/>
  <c r="AF8" i="27"/>
  <c r="AE8" i="27"/>
  <c r="AD8" i="27"/>
  <c r="AC8" i="27"/>
  <c r="AB8" i="27"/>
  <c r="P8" i="27"/>
  <c r="J8" i="27"/>
  <c r="Q8" i="27" s="1"/>
  <c r="AX7" i="27"/>
  <c r="AW7" i="27"/>
  <c r="AV7" i="27"/>
  <c r="AT7" i="27"/>
  <c r="AS7" i="27"/>
  <c r="AR7" i="27"/>
  <c r="AQ7" i="27"/>
  <c r="AP7" i="27"/>
  <c r="AM7" i="27"/>
  <c r="AL7" i="27"/>
  <c r="AK7" i="27"/>
  <c r="AJ7" i="27"/>
  <c r="AI7" i="27"/>
  <c r="AH7" i="27"/>
  <c r="AG7" i="27"/>
  <c r="AF7" i="27"/>
  <c r="AE7" i="27"/>
  <c r="AD7" i="27"/>
  <c r="AC7" i="27"/>
  <c r="AB7" i="27"/>
  <c r="Q7" i="27"/>
  <c r="AO7" i="27" s="1"/>
  <c r="P7" i="27"/>
  <c r="AN7" i="27" s="1"/>
  <c r="J7" i="27"/>
  <c r="AX6" i="27"/>
  <c r="AW6" i="27"/>
  <c r="AV6" i="27"/>
  <c r="AT6" i="27"/>
  <c r="AS6" i="27"/>
  <c r="AR6" i="27"/>
  <c r="AQ6" i="27"/>
  <c r="AP6" i="27"/>
  <c r="AM6" i="27"/>
  <c r="AL6" i="27"/>
  <c r="AK6" i="27"/>
  <c r="AJ6" i="27"/>
  <c r="AI6" i="27"/>
  <c r="AG6" i="27"/>
  <c r="AF6" i="27"/>
  <c r="AE6" i="27"/>
  <c r="AD6" i="27"/>
  <c r="AC6" i="27"/>
  <c r="AB6" i="27"/>
  <c r="P6" i="27"/>
  <c r="AN6" i="27" s="1"/>
  <c r="J6" i="27"/>
  <c r="AH6" i="27" s="1"/>
  <c r="AX5" i="27"/>
  <c r="AW5" i="27"/>
  <c r="AV5" i="27"/>
  <c r="AT5" i="27"/>
  <c r="AS5" i="27"/>
  <c r="AR5" i="27"/>
  <c r="AQ5" i="27"/>
  <c r="AP5" i="27"/>
  <c r="AM5" i="27"/>
  <c r="AL5" i="27"/>
  <c r="AK5" i="27"/>
  <c r="AJ5" i="27"/>
  <c r="AI5" i="27"/>
  <c r="AG5" i="27"/>
  <c r="AF5" i="27"/>
  <c r="AE5" i="27"/>
  <c r="AD5" i="27"/>
  <c r="AC5" i="27"/>
  <c r="AB5" i="27"/>
  <c r="Q5" i="27"/>
  <c r="W5" i="27" s="1"/>
  <c r="AU5" i="27" s="1"/>
  <c r="P5" i="27"/>
  <c r="AN5" i="27" s="1"/>
  <c r="J5" i="27"/>
  <c r="AH5" i="27" s="1"/>
  <c r="AX4" i="27"/>
  <c r="AW4" i="27"/>
  <c r="AV4" i="27"/>
  <c r="AT4" i="27"/>
  <c r="AS4" i="27"/>
  <c r="AR4" i="27"/>
  <c r="AQ4" i="27"/>
  <c r="AP4" i="27"/>
  <c r="AN4" i="27"/>
  <c r="AM4" i="27"/>
  <c r="AL4" i="27"/>
  <c r="AK4" i="27"/>
  <c r="AJ4" i="27"/>
  <c r="AI4" i="27"/>
  <c r="AG4" i="27"/>
  <c r="AF4" i="27"/>
  <c r="AE4" i="27"/>
  <c r="AD4" i="27"/>
  <c r="AC4" i="27"/>
  <c r="AB4" i="27"/>
  <c r="P4" i="27"/>
  <c r="J4" i="27"/>
  <c r="Q4" i="27" s="1"/>
  <c r="AX3" i="27"/>
  <c r="AW3" i="27"/>
  <c r="AV3" i="27"/>
  <c r="AT3" i="27"/>
  <c r="AS3" i="27"/>
  <c r="AR3" i="27"/>
  <c r="AQ3" i="27"/>
  <c r="AP3" i="27"/>
  <c r="AM3" i="27"/>
  <c r="AL3" i="27"/>
  <c r="AK3" i="27"/>
  <c r="AJ3" i="27"/>
  <c r="AI3" i="27"/>
  <c r="AH3" i="27"/>
  <c r="AG3" i="27"/>
  <c r="AF3" i="27"/>
  <c r="AE3" i="27"/>
  <c r="AD3" i="27"/>
  <c r="AC3" i="27"/>
  <c r="AB3" i="27"/>
  <c r="Q3" i="27"/>
  <c r="W3" i="27" s="1"/>
  <c r="P3" i="27"/>
  <c r="J3" i="27"/>
  <c r="AX2" i="27"/>
  <c r="AW2" i="27"/>
  <c r="AV2" i="27"/>
  <c r="AU2" i="27"/>
  <c r="AT2" i="27"/>
  <c r="AS2" i="27"/>
  <c r="AR2" i="27"/>
  <c r="AQ2" i="27"/>
  <c r="AP2" i="27"/>
  <c r="AO2" i="27"/>
  <c r="AN2" i="27"/>
  <c r="AM2" i="27"/>
  <c r="AL2" i="27"/>
  <c r="AK2" i="27"/>
  <c r="AJ2" i="27"/>
  <c r="AI2" i="27"/>
  <c r="AH2" i="27"/>
  <c r="AG2" i="27"/>
  <c r="AF2" i="27"/>
  <c r="AE2" i="27"/>
  <c r="AD2" i="27"/>
  <c r="AC2" i="27"/>
  <c r="AB2" i="27"/>
  <c r="W24" i="27" l="1"/>
  <c r="AU24" i="27" s="1"/>
  <c r="AO24" i="27"/>
  <c r="W42" i="27"/>
  <c r="AU42" i="27" s="1"/>
  <c r="AO42" i="27"/>
  <c r="W4" i="27"/>
  <c r="AU4" i="27" s="1"/>
  <c r="AO4" i="27"/>
  <c r="W28" i="27"/>
  <c r="AU28" i="27" s="1"/>
  <c r="AO28" i="27"/>
  <c r="AO33" i="27"/>
  <c r="W33" i="27"/>
  <c r="AU33" i="27" s="1"/>
  <c r="W16" i="27"/>
  <c r="AU16" i="27" s="1"/>
  <c r="AO16" i="27"/>
  <c r="AO27" i="27"/>
  <c r="W27" i="27"/>
  <c r="AU27" i="27" s="1"/>
  <c r="AU3" i="27"/>
  <c r="Q37" i="27"/>
  <c r="W8" i="27"/>
  <c r="AU8" i="27" s="1"/>
  <c r="AO8" i="27"/>
  <c r="AO20" i="27"/>
  <c r="W20" i="27"/>
  <c r="AU20" i="27" s="1"/>
  <c r="Q38" i="27"/>
  <c r="AO30" i="27"/>
  <c r="W30" i="27"/>
  <c r="AU30" i="27" s="1"/>
  <c r="AO31" i="27"/>
  <c r="W31" i="27"/>
  <c r="AU31" i="27" s="1"/>
  <c r="W12" i="27"/>
  <c r="AU12" i="27" s="1"/>
  <c r="AO12" i="27"/>
  <c r="W21" i="27"/>
  <c r="AU21" i="27" s="1"/>
  <c r="Q25" i="27"/>
  <c r="Q32" i="27"/>
  <c r="Q36" i="27"/>
  <c r="W39" i="27"/>
  <c r="AU39" i="27" s="1"/>
  <c r="AO70" i="27"/>
  <c r="W70" i="27"/>
  <c r="AU70" i="27" s="1"/>
  <c r="AO76" i="27"/>
  <c r="W76" i="27"/>
  <c r="AU76" i="27" s="1"/>
  <c r="AO81" i="27"/>
  <c r="W81" i="27"/>
  <c r="AU81" i="27" s="1"/>
  <c r="AO115" i="27"/>
  <c r="W115" i="27"/>
  <c r="AU115" i="27" s="1"/>
  <c r="AO147" i="27"/>
  <c r="W147" i="27"/>
  <c r="AU147" i="27" s="1"/>
  <c r="W161" i="27"/>
  <c r="AU161" i="27" s="1"/>
  <c r="AO167" i="27"/>
  <c r="Q29" i="27"/>
  <c r="AO63" i="27"/>
  <c r="W63" i="27"/>
  <c r="AU63" i="27" s="1"/>
  <c r="AO75" i="27"/>
  <c r="AN95" i="27"/>
  <c r="Q95" i="27"/>
  <c r="AO114" i="27"/>
  <c r="W114" i="27"/>
  <c r="AU114" i="27" s="1"/>
  <c r="AO127" i="27"/>
  <c r="W127" i="27"/>
  <c r="AU127" i="27" s="1"/>
  <c r="Q155" i="27"/>
  <c r="AO160" i="27"/>
  <c r="W160" i="27"/>
  <c r="AU160" i="27" s="1"/>
  <c r="AH165" i="27"/>
  <c r="Q165" i="27"/>
  <c r="Q179" i="27"/>
  <c r="AN179" i="27"/>
  <c r="AO5" i="27"/>
  <c r="Q6" i="27"/>
  <c r="AO9" i="27"/>
  <c r="Q10" i="27"/>
  <c r="AO13" i="27"/>
  <c r="Q14" i="27"/>
  <c r="AO17" i="27"/>
  <c r="Q18" i="27"/>
  <c r="Q22" i="27"/>
  <c r="Q40" i="27"/>
  <c r="AH54" i="27"/>
  <c r="Q54" i="27"/>
  <c r="AO55" i="27"/>
  <c r="W55" i="27"/>
  <c r="AU55" i="27" s="1"/>
  <c r="AH69" i="27"/>
  <c r="AN109" i="27"/>
  <c r="Q109" i="27"/>
  <c r="AO126" i="27"/>
  <c r="AO174" i="27"/>
  <c r="W174" i="27"/>
  <c r="AU174" i="27" s="1"/>
  <c r="J181" i="27"/>
  <c r="J183" i="27" s="1"/>
  <c r="P26" i="27"/>
  <c r="AN26" i="27" s="1"/>
  <c r="AH27" i="27"/>
  <c r="P37" i="27"/>
  <c r="AN37" i="27" s="1"/>
  <c r="W68" i="27"/>
  <c r="AU68" i="27" s="1"/>
  <c r="AO68" i="27"/>
  <c r="AN74" i="27"/>
  <c r="Q74" i="27"/>
  <c r="W108" i="27"/>
  <c r="AU108" i="27" s="1"/>
  <c r="AO108" i="27"/>
  <c r="AN120" i="27"/>
  <c r="Q120" i="27"/>
  <c r="AH145" i="27"/>
  <c r="Q145" i="27"/>
  <c r="AO154" i="27"/>
  <c r="W154" i="27"/>
  <c r="AU154" i="27" s="1"/>
  <c r="AD159" i="27"/>
  <c r="P159" i="27"/>
  <c r="AN159" i="27" s="1"/>
  <c r="W133" i="27"/>
  <c r="AU133" i="27" s="1"/>
  <c r="AO133" i="27"/>
  <c r="AH4" i="27"/>
  <c r="AH8" i="27"/>
  <c r="AH12" i="27"/>
  <c r="AH16" i="27"/>
  <c r="AH20" i="27"/>
  <c r="AH24" i="27"/>
  <c r="AH31" i="27"/>
  <c r="AH38" i="27"/>
  <c r="AH42" i="27"/>
  <c r="AD73" i="27"/>
  <c r="P73" i="27"/>
  <c r="AN73" i="27" s="1"/>
  <c r="Q85" i="27"/>
  <c r="AO93" i="27"/>
  <c r="W93" i="27"/>
  <c r="AU93" i="27" s="1"/>
  <c r="AN118" i="27"/>
  <c r="Q118" i="27"/>
  <c r="AO119" i="27"/>
  <c r="AH131" i="27"/>
  <c r="Q131" i="27"/>
  <c r="Q164" i="27"/>
  <c r="AH43" i="27"/>
  <c r="AO61" i="27"/>
  <c r="W61" i="27"/>
  <c r="AU61" i="27" s="1"/>
  <c r="AO101" i="27"/>
  <c r="W101" i="27"/>
  <c r="AU101" i="27" s="1"/>
  <c r="AN113" i="27"/>
  <c r="Q113" i="27"/>
  <c r="AN137" i="27"/>
  <c r="Q137" i="27"/>
  <c r="AO143" i="27"/>
  <c r="W143" i="27"/>
  <c r="AU143" i="27" s="1"/>
  <c r="AD153" i="27"/>
  <c r="P153" i="27"/>
  <c r="AN153" i="27" s="1"/>
  <c r="AO172" i="27"/>
  <c r="W172" i="27"/>
  <c r="AU172" i="27" s="1"/>
  <c r="AO177" i="27"/>
  <c r="W177" i="27"/>
  <c r="AU177" i="27" s="1"/>
  <c r="AO168" i="27"/>
  <c r="W168" i="27"/>
  <c r="AU168" i="27" s="1"/>
  <c r="W11" i="27"/>
  <c r="AU11" i="27" s="1"/>
  <c r="Q67" i="27"/>
  <c r="AH67" i="27"/>
  <c r="AO79" i="27"/>
  <c r="W79" i="27"/>
  <c r="AU79" i="27" s="1"/>
  <c r="AN91" i="27"/>
  <c r="Q91" i="27"/>
  <c r="AO107" i="27"/>
  <c r="W107" i="27"/>
  <c r="AU107" i="27" s="1"/>
  <c r="W112" i="27"/>
  <c r="AU112" i="27" s="1"/>
  <c r="AO112" i="27"/>
  <c r="AH124" i="27"/>
  <c r="Q124" i="27"/>
  <c r="AO163" i="27"/>
  <c r="W163" i="27"/>
  <c r="AU163" i="27" s="1"/>
  <c r="AD180" i="27"/>
  <c r="P180" i="27"/>
  <c r="AN180" i="27" s="1"/>
  <c r="W7" i="27"/>
  <c r="AU7" i="27" s="1"/>
  <c r="AB181" i="27"/>
  <c r="AB183" i="27" s="1"/>
  <c r="AN3" i="27"/>
  <c r="W34" i="27"/>
  <c r="AU34" i="27" s="1"/>
  <c r="AH58" i="27"/>
  <c r="Q58" i="27"/>
  <c r="AO59" i="27"/>
  <c r="W59" i="27"/>
  <c r="AU59" i="27" s="1"/>
  <c r="Q78" i="27"/>
  <c r="AO90" i="27"/>
  <c r="W90" i="27"/>
  <c r="AU90" i="27" s="1"/>
  <c r="Q130" i="27"/>
  <c r="AO151" i="27"/>
  <c r="W151" i="27"/>
  <c r="AU151" i="27" s="1"/>
  <c r="W158" i="27"/>
  <c r="AU158" i="27" s="1"/>
  <c r="AO105" i="27"/>
  <c r="W105" i="27"/>
  <c r="AU105" i="27" s="1"/>
  <c r="W15" i="27"/>
  <c r="AU15" i="27" s="1"/>
  <c r="AC181" i="27"/>
  <c r="AC183" i="27" s="1"/>
  <c r="AO3" i="27"/>
  <c r="AO71" i="27"/>
  <c r="W71" i="27"/>
  <c r="AU71" i="27" s="1"/>
  <c r="W72" i="27"/>
  <c r="AU72" i="27" s="1"/>
  <c r="AN117" i="27"/>
  <c r="Q117" i="27"/>
  <c r="AO122" i="27"/>
  <c r="W122" i="27"/>
  <c r="AU122" i="27" s="1"/>
  <c r="AN134" i="27"/>
  <c r="Q134" i="27"/>
  <c r="AH141" i="27"/>
  <c r="Q141" i="27"/>
  <c r="AO157" i="27"/>
  <c r="W157" i="27"/>
  <c r="AU157" i="27" s="1"/>
  <c r="AD162" i="27"/>
  <c r="P162" i="27"/>
  <c r="AN162" i="27" s="1"/>
  <c r="F181" i="27"/>
  <c r="F183" i="27" s="1"/>
  <c r="AO106" i="27"/>
  <c r="W106" i="27"/>
  <c r="AU106" i="27" s="1"/>
  <c r="AO111" i="27"/>
  <c r="W111" i="27"/>
  <c r="AU111" i="27" s="1"/>
  <c r="W116" i="27"/>
  <c r="AU116" i="27" s="1"/>
  <c r="AO116" i="27"/>
  <c r="AN176" i="27"/>
  <c r="Q176" i="27"/>
  <c r="AN44" i="27"/>
  <c r="Q44" i="27"/>
  <c r="AD78" i="27"/>
  <c r="AO89" i="27"/>
  <c r="W89" i="27"/>
  <c r="AU89" i="27" s="1"/>
  <c r="AO97" i="27"/>
  <c r="W97" i="27"/>
  <c r="AU97" i="27" s="1"/>
  <c r="AO110" i="27"/>
  <c r="W110" i="27"/>
  <c r="AU110" i="27" s="1"/>
  <c r="AO139" i="27"/>
  <c r="W139" i="27"/>
  <c r="AU139" i="27" s="1"/>
  <c r="AH149" i="27"/>
  <c r="Q149" i="27"/>
  <c r="AD156" i="27"/>
  <c r="P156" i="27"/>
  <c r="AN156" i="27" s="1"/>
  <c r="W175" i="27"/>
  <c r="AU175" i="27" s="1"/>
  <c r="AO175" i="27"/>
  <c r="Q47" i="27"/>
  <c r="Q50" i="27"/>
  <c r="Q65" i="27"/>
  <c r="P69" i="27"/>
  <c r="AN69" i="27" s="1"/>
  <c r="Q83" i="27"/>
  <c r="Q86" i="27"/>
  <c r="AH63" i="27"/>
  <c r="AH81" i="27"/>
  <c r="AD130" i="27"/>
  <c r="AD133" i="27"/>
  <c r="Q73" i="27"/>
  <c r="P77" i="27"/>
  <c r="AN77" i="27" s="1"/>
  <c r="Q80" i="27"/>
  <c r="Q94" i="27"/>
  <c r="Q102" i="27"/>
  <c r="AH107" i="27"/>
  <c r="AH111" i="27"/>
  <c r="AH115" i="27"/>
  <c r="Q128" i="27"/>
  <c r="Q153" i="27"/>
  <c r="AH154" i="27"/>
  <c r="AD155" i="27"/>
  <c r="Q156" i="27"/>
  <c r="AH157" i="27"/>
  <c r="AD158" i="27"/>
  <c r="Q159" i="27"/>
  <c r="AH160" i="27"/>
  <c r="AD161" i="27"/>
  <c r="Q162" i="27"/>
  <c r="AH163" i="27"/>
  <c r="AD164" i="27"/>
  <c r="Q169" i="27"/>
  <c r="Q173" i="27"/>
  <c r="AH174" i="27"/>
  <c r="AD179" i="27"/>
  <c r="Q180" i="27"/>
  <c r="P45" i="27"/>
  <c r="P48" i="27"/>
  <c r="P51" i="27"/>
  <c r="W62" i="27"/>
  <c r="AU62" i="27" s="1"/>
  <c r="AH71" i="27"/>
  <c r="AH78" i="27"/>
  <c r="AD79" i="27"/>
  <c r="AD181" i="27" s="1"/>
  <c r="AD183" i="27" s="1"/>
  <c r="P84" i="27"/>
  <c r="P87" i="27"/>
  <c r="W98" i="27"/>
  <c r="AU98" i="27" s="1"/>
  <c r="P121" i="27"/>
  <c r="AH122" i="27"/>
  <c r="P138" i="27"/>
  <c r="AH139" i="27"/>
  <c r="AH143" i="27"/>
  <c r="AH147" i="27"/>
  <c r="AH151" i="27"/>
  <c r="AH68" i="27"/>
  <c r="Q99" i="27"/>
  <c r="Q103" i="27"/>
  <c r="AH108" i="27"/>
  <c r="AH112" i="27"/>
  <c r="AH116" i="27"/>
  <c r="Q125" i="27"/>
  <c r="Q129" i="27"/>
  <c r="AH130" i="27"/>
  <c r="Q132" i="27"/>
  <c r="AH133" i="27"/>
  <c r="W135" i="27"/>
  <c r="AU135" i="27" s="1"/>
  <c r="W142" i="27"/>
  <c r="AU142" i="27" s="1"/>
  <c r="W146" i="27"/>
  <c r="AU146" i="27" s="1"/>
  <c r="W150" i="27"/>
  <c r="AU150" i="27" s="1"/>
  <c r="W166" i="27"/>
  <c r="AU166" i="27" s="1"/>
  <c r="Q170" i="27"/>
  <c r="AH175" i="27"/>
  <c r="AH53" i="27"/>
  <c r="AH57" i="27"/>
  <c r="AH72" i="27"/>
  <c r="Q178" i="27"/>
  <c r="Q49" i="27"/>
  <c r="W52" i="27"/>
  <c r="AU52" i="27" s="1"/>
  <c r="W56" i="27"/>
  <c r="AU56" i="27" s="1"/>
  <c r="Q64" i="27"/>
  <c r="Q96" i="27"/>
  <c r="Q100" i="27"/>
  <c r="AO102" i="27" l="1"/>
  <c r="W102" i="27"/>
  <c r="AU102" i="27" s="1"/>
  <c r="AO50" i="27"/>
  <c r="W50" i="27"/>
  <c r="AU50" i="27" s="1"/>
  <c r="AO134" i="27"/>
  <c r="W134" i="27"/>
  <c r="AU134" i="27" s="1"/>
  <c r="W58" i="27"/>
  <c r="AU58" i="27" s="1"/>
  <c r="AO58" i="27"/>
  <c r="AO18" i="27"/>
  <c r="W18" i="27"/>
  <c r="AU18" i="27" s="1"/>
  <c r="AO29" i="27"/>
  <c r="W29" i="27"/>
  <c r="AU29" i="27" s="1"/>
  <c r="W38" i="27"/>
  <c r="AU38" i="27" s="1"/>
  <c r="AO38" i="27"/>
  <c r="AO94" i="27"/>
  <c r="W94" i="27"/>
  <c r="AU94" i="27" s="1"/>
  <c r="AO129" i="27"/>
  <c r="W129" i="27"/>
  <c r="AU129" i="27" s="1"/>
  <c r="AN138" i="27"/>
  <c r="Q138" i="27"/>
  <c r="AN45" i="27"/>
  <c r="Q45" i="27"/>
  <c r="AO80" i="27"/>
  <c r="W80" i="27"/>
  <c r="AU80" i="27" s="1"/>
  <c r="AO47" i="27"/>
  <c r="W47" i="27"/>
  <c r="AU47" i="27" s="1"/>
  <c r="Q26" i="27"/>
  <c r="AN51" i="27"/>
  <c r="Q51" i="27"/>
  <c r="AO120" i="27"/>
  <c r="W120" i="27"/>
  <c r="AU120" i="27" s="1"/>
  <c r="AO159" i="27"/>
  <c r="W159" i="27"/>
  <c r="AU159" i="27" s="1"/>
  <c r="AO125" i="27"/>
  <c r="W125" i="27"/>
  <c r="AU125" i="27" s="1"/>
  <c r="W85" i="27"/>
  <c r="AU85" i="27" s="1"/>
  <c r="AO85" i="27"/>
  <c r="P181" i="27"/>
  <c r="P183" i="27" s="1"/>
  <c r="AO109" i="27"/>
  <c r="W109" i="27"/>
  <c r="AU109" i="27" s="1"/>
  <c r="AO14" i="27"/>
  <c r="W14" i="27"/>
  <c r="AU14" i="27" s="1"/>
  <c r="AO155" i="27"/>
  <c r="W155" i="27"/>
  <c r="AU155" i="27" s="1"/>
  <c r="AO36" i="27"/>
  <c r="W36" i="27"/>
  <c r="AU36" i="27" s="1"/>
  <c r="AO178" i="27"/>
  <c r="W178" i="27"/>
  <c r="AU178" i="27" s="1"/>
  <c r="AO113" i="27"/>
  <c r="W113" i="27"/>
  <c r="AU113" i="27" s="1"/>
  <c r="AN48" i="27"/>
  <c r="Q48" i="27"/>
  <c r="AO180" i="27"/>
  <c r="W180" i="27"/>
  <c r="AU180" i="27" s="1"/>
  <c r="AN121" i="27"/>
  <c r="Q121" i="27"/>
  <c r="AO156" i="27"/>
  <c r="W156" i="27"/>
  <c r="AU156" i="27" s="1"/>
  <c r="AO73" i="27"/>
  <c r="W73" i="27"/>
  <c r="AU73" i="27" s="1"/>
  <c r="AO74" i="27"/>
  <c r="W74" i="27"/>
  <c r="AU74" i="27" s="1"/>
  <c r="AO32" i="27"/>
  <c r="W32" i="27"/>
  <c r="AU32" i="27" s="1"/>
  <c r="AO132" i="27"/>
  <c r="W132" i="27"/>
  <c r="AU132" i="27" s="1"/>
  <c r="AO22" i="27"/>
  <c r="W22" i="27"/>
  <c r="AU22" i="27" s="1"/>
  <c r="AO170" i="27"/>
  <c r="W170" i="27"/>
  <c r="AU170" i="27" s="1"/>
  <c r="Q77" i="27"/>
  <c r="AO117" i="27"/>
  <c r="W117" i="27"/>
  <c r="AU117" i="27" s="1"/>
  <c r="AO91" i="27"/>
  <c r="W91" i="27"/>
  <c r="AU91" i="27" s="1"/>
  <c r="Q69" i="27"/>
  <c r="AO10" i="27"/>
  <c r="W10" i="27"/>
  <c r="AU10" i="27" s="1"/>
  <c r="AO25" i="27"/>
  <c r="W25" i="27"/>
  <c r="AU25" i="27" s="1"/>
  <c r="AO65" i="27"/>
  <c r="W65" i="27"/>
  <c r="AU65" i="27" s="1"/>
  <c r="W100" i="27"/>
  <c r="AU100" i="27" s="1"/>
  <c r="AO100" i="27"/>
  <c r="AN87" i="27"/>
  <c r="Q87" i="27"/>
  <c r="AO44" i="27"/>
  <c r="W44" i="27"/>
  <c r="AU44" i="27" s="1"/>
  <c r="W96" i="27"/>
  <c r="AU96" i="27" s="1"/>
  <c r="AO96" i="27"/>
  <c r="AO103" i="27"/>
  <c r="W103" i="27"/>
  <c r="AU103" i="27" s="1"/>
  <c r="AO169" i="27"/>
  <c r="W169" i="27"/>
  <c r="AU169" i="27" s="1"/>
  <c r="W130" i="27"/>
  <c r="AU130" i="27" s="1"/>
  <c r="AO130" i="27"/>
  <c r="AO164" i="27"/>
  <c r="W164" i="27"/>
  <c r="AU164" i="27" s="1"/>
  <c r="AO6" i="27"/>
  <c r="W6" i="27"/>
  <c r="AO37" i="27"/>
  <c r="W37" i="27"/>
  <c r="AU37" i="27" s="1"/>
  <c r="AO83" i="27"/>
  <c r="W83" i="27"/>
  <c r="AU83" i="27" s="1"/>
  <c r="AO173" i="27"/>
  <c r="W173" i="27"/>
  <c r="AU173" i="27" s="1"/>
  <c r="AN84" i="27"/>
  <c r="Q84" i="27"/>
  <c r="AO153" i="27"/>
  <c r="W153" i="27"/>
  <c r="AU153" i="27" s="1"/>
  <c r="AO149" i="27"/>
  <c r="W149" i="27"/>
  <c r="AU149" i="27" s="1"/>
  <c r="W64" i="27"/>
  <c r="AU64" i="27" s="1"/>
  <c r="AO64" i="27"/>
  <c r="AO99" i="27"/>
  <c r="W99" i="27"/>
  <c r="AU99" i="27" s="1"/>
  <c r="AO128" i="27"/>
  <c r="W128" i="27"/>
  <c r="AU128" i="27" s="1"/>
  <c r="AO131" i="27"/>
  <c r="W131" i="27"/>
  <c r="AU131" i="27" s="1"/>
  <c r="AO95" i="27"/>
  <c r="W95" i="27"/>
  <c r="AU95" i="27" s="1"/>
  <c r="AO86" i="27"/>
  <c r="W86" i="27"/>
  <c r="AU86" i="27" s="1"/>
  <c r="AO176" i="27"/>
  <c r="W176" i="27"/>
  <c r="AU176" i="27" s="1"/>
  <c r="W54" i="27"/>
  <c r="AU54" i="27" s="1"/>
  <c r="AO54" i="27"/>
  <c r="AO162" i="27"/>
  <c r="W162" i="27"/>
  <c r="AU162" i="27" s="1"/>
  <c r="AO78" i="27"/>
  <c r="W78" i="27"/>
  <c r="AU78" i="27" s="1"/>
  <c r="AO67" i="27"/>
  <c r="W67" i="27"/>
  <c r="AU67" i="27" s="1"/>
  <c r="AO137" i="27"/>
  <c r="W137" i="27"/>
  <c r="AU137" i="27" s="1"/>
  <c r="AO145" i="27"/>
  <c r="W145" i="27"/>
  <c r="AU145" i="27" s="1"/>
  <c r="AO179" i="27"/>
  <c r="W179" i="27"/>
  <c r="AU179" i="27" s="1"/>
  <c r="W49" i="27"/>
  <c r="AU49" i="27" s="1"/>
  <c r="AO49" i="27"/>
  <c r="AO141" i="27"/>
  <c r="W141" i="27"/>
  <c r="AU141" i="27" s="1"/>
  <c r="AO124" i="27"/>
  <c r="W124" i="27"/>
  <c r="AU124" i="27" s="1"/>
  <c r="AO118" i="27"/>
  <c r="W118" i="27"/>
  <c r="AU118" i="27" s="1"/>
  <c r="AO40" i="27"/>
  <c r="W40" i="27"/>
  <c r="AU40" i="27" s="1"/>
  <c r="AO165" i="27"/>
  <c r="W165" i="27"/>
  <c r="AU165" i="27" s="1"/>
  <c r="AO121" i="27" l="1"/>
  <c r="W121" i="27"/>
  <c r="AU121" i="27" s="1"/>
  <c r="AO138" i="27"/>
  <c r="W138" i="27"/>
  <c r="AU138" i="27" s="1"/>
  <c r="AU6" i="27"/>
  <c r="AO51" i="27"/>
  <c r="W51" i="27"/>
  <c r="AU51" i="27" s="1"/>
  <c r="AO77" i="27"/>
  <c r="W77" i="27"/>
  <c r="AU77" i="27" s="1"/>
  <c r="AO45" i="27"/>
  <c r="W45" i="27"/>
  <c r="AU45" i="27" s="1"/>
  <c r="W69" i="27"/>
  <c r="AU69" i="27" s="1"/>
  <c r="AO69" i="27"/>
  <c r="AO48" i="27"/>
  <c r="W48" i="27"/>
  <c r="AU48" i="27" s="1"/>
  <c r="AO26" i="27"/>
  <c r="W26" i="27"/>
  <c r="AU26" i="27" s="1"/>
  <c r="AO87" i="27"/>
  <c r="W87" i="27"/>
  <c r="AU87" i="27" s="1"/>
  <c r="AO84" i="27"/>
  <c r="W84" i="27"/>
  <c r="AU84" i="27" s="1"/>
  <c r="Q181" i="27"/>
  <c r="Q183" i="27" s="1"/>
  <c r="W181" i="27" l="1"/>
  <c r="W183" i="27" s="1"/>
  <c r="C73" i="14" l="1"/>
  <c r="C71" i="14"/>
  <c r="C66" i="14"/>
  <c r="C64" i="14"/>
  <c r="C62" i="14"/>
  <c r="C60" i="14"/>
  <c r="C58" i="14"/>
  <c r="C53" i="14"/>
  <c r="C51" i="14"/>
  <c r="C48" i="14"/>
  <c r="C46" i="14"/>
  <c r="C40" i="14"/>
  <c r="C38" i="14"/>
  <c r="C35" i="14"/>
  <c r="C33" i="14"/>
  <c r="C31" i="14"/>
  <c r="C28" i="14"/>
  <c r="C26" i="14"/>
  <c r="C24" i="14"/>
  <c r="C22" i="14"/>
  <c r="I90" i="30"/>
  <c r="D181" i="30"/>
  <c r="E181" i="30"/>
  <c r="F181" i="30"/>
  <c r="H181" i="30"/>
  <c r="I181" i="30"/>
  <c r="J181" i="30"/>
  <c r="K181" i="30"/>
  <c r="L181" i="30"/>
  <c r="M181" i="30"/>
  <c r="N181" i="30"/>
  <c r="O181" i="30"/>
  <c r="P181" i="30"/>
  <c r="Q181" i="30"/>
  <c r="R181" i="30"/>
  <c r="S181" i="30"/>
  <c r="T181" i="30"/>
  <c r="U181" i="30"/>
  <c r="V181" i="30"/>
  <c r="W181" i="30"/>
  <c r="H182" i="30"/>
  <c r="I182" i="30"/>
  <c r="J182" i="30"/>
  <c r="K182" i="30"/>
  <c r="L182" i="30"/>
  <c r="M182" i="30"/>
  <c r="N182" i="30"/>
  <c r="O182" i="30"/>
  <c r="P182" i="30"/>
  <c r="R182" i="30"/>
  <c r="S182" i="30"/>
  <c r="T182" i="30"/>
  <c r="U182" i="30"/>
  <c r="V182" i="30"/>
  <c r="W182" i="30"/>
  <c r="C76" i="14" l="1"/>
  <c r="A76" i="14"/>
  <c r="P182" i="15" l="1"/>
  <c r="O182" i="15"/>
  <c r="N182" i="15"/>
  <c r="M182" i="15"/>
  <c r="L182" i="15"/>
  <c r="K182" i="15"/>
  <c r="J182" i="15"/>
  <c r="I182" i="15"/>
  <c r="H182" i="15"/>
  <c r="G182" i="15"/>
  <c r="E182" i="15"/>
  <c r="D182" i="15"/>
  <c r="Z181" i="15"/>
  <c r="Y181" i="15"/>
  <c r="X181" i="15"/>
  <c r="V181" i="15"/>
  <c r="U181" i="15"/>
  <c r="T181" i="15"/>
  <c r="S181" i="15"/>
  <c r="R181" i="15"/>
  <c r="W180" i="15"/>
  <c r="Q180" i="15"/>
  <c r="F180" i="15"/>
  <c r="Q179" i="15"/>
  <c r="W179" i="15" s="1"/>
  <c r="F179" i="15"/>
  <c r="W178" i="15"/>
  <c r="Q178" i="15"/>
  <c r="F178" i="15"/>
  <c r="W177" i="15"/>
  <c r="Q177" i="15"/>
  <c r="F177" i="15"/>
  <c r="W176" i="15"/>
  <c r="Q176" i="15"/>
  <c r="F176" i="15"/>
  <c r="Q175" i="15"/>
  <c r="W175" i="15" s="1"/>
  <c r="F175" i="15"/>
  <c r="W174" i="15"/>
  <c r="Q174" i="15"/>
  <c r="F174" i="15"/>
  <c r="Q173" i="15"/>
  <c r="W173" i="15" s="1"/>
  <c r="F173" i="15"/>
  <c r="W172" i="15"/>
  <c r="Q172" i="15"/>
  <c r="F172" i="15"/>
  <c r="Q171" i="15"/>
  <c r="W171" i="15" s="1"/>
  <c r="F171" i="15"/>
  <c r="W170" i="15"/>
  <c r="Q170" i="15"/>
  <c r="F170" i="15"/>
  <c r="W169" i="15"/>
  <c r="Q169" i="15"/>
  <c r="F169" i="15"/>
  <c r="W168" i="15"/>
  <c r="Q168" i="15"/>
  <c r="F168" i="15"/>
  <c r="Q167" i="15"/>
  <c r="W167" i="15" s="1"/>
  <c r="F167" i="15"/>
  <c r="W166" i="15"/>
  <c r="Q166" i="15"/>
  <c r="F166" i="15"/>
  <c r="Q165" i="15"/>
  <c r="W165" i="15" s="1"/>
  <c r="F165" i="15"/>
  <c r="W164" i="15"/>
  <c r="Q164" i="15"/>
  <c r="F164" i="15"/>
  <c r="Q163" i="15"/>
  <c r="W163" i="15" s="1"/>
  <c r="F163" i="15"/>
  <c r="W162" i="15"/>
  <c r="Q162" i="15"/>
  <c r="F162" i="15"/>
  <c r="W161" i="15"/>
  <c r="Q161" i="15"/>
  <c r="F161" i="15"/>
  <c r="W160" i="15"/>
  <c r="Q160" i="15"/>
  <c r="F160" i="15"/>
  <c r="Q159" i="15"/>
  <c r="W159" i="15" s="1"/>
  <c r="F159" i="15"/>
  <c r="W158" i="15"/>
  <c r="Q158" i="15"/>
  <c r="F158" i="15"/>
  <c r="Q157" i="15"/>
  <c r="W157" i="15" s="1"/>
  <c r="F157" i="15"/>
  <c r="W156" i="15"/>
  <c r="Q156" i="15"/>
  <c r="F156" i="15"/>
  <c r="Q155" i="15"/>
  <c r="W155" i="15" s="1"/>
  <c r="F155" i="15"/>
  <c r="W154" i="15"/>
  <c r="Q154" i="15"/>
  <c r="F154" i="15"/>
  <c r="W153" i="15"/>
  <c r="Q153" i="15"/>
  <c r="F153" i="15"/>
  <c r="W152" i="15"/>
  <c r="Q152" i="15"/>
  <c r="F152" i="15"/>
  <c r="Q151" i="15"/>
  <c r="W151" i="15" s="1"/>
  <c r="F151" i="15"/>
  <c r="W150" i="15"/>
  <c r="Q150" i="15"/>
  <c r="F150" i="15"/>
  <c r="Q149" i="15"/>
  <c r="W149" i="15" s="1"/>
  <c r="F149" i="15"/>
  <c r="W148" i="15"/>
  <c r="Q148" i="15"/>
  <c r="F148" i="15"/>
  <c r="Q147" i="15"/>
  <c r="W147" i="15" s="1"/>
  <c r="F147" i="15"/>
  <c r="W146" i="15"/>
  <c r="Q146" i="15"/>
  <c r="F146" i="15"/>
  <c r="W145" i="15"/>
  <c r="Q145" i="15"/>
  <c r="F145" i="15"/>
  <c r="W144" i="15"/>
  <c r="Q144" i="15"/>
  <c r="F144" i="15"/>
  <c r="Q143" i="15"/>
  <c r="W143" i="15" s="1"/>
  <c r="F143" i="15"/>
  <c r="W142" i="15"/>
  <c r="Q142" i="15"/>
  <c r="F142" i="15"/>
  <c r="Q141" i="15"/>
  <c r="W141" i="15" s="1"/>
  <c r="F141" i="15"/>
  <c r="W140" i="15"/>
  <c r="Q140" i="15"/>
  <c r="F140" i="15"/>
  <c r="Q139" i="15"/>
  <c r="W139" i="15" s="1"/>
  <c r="F139" i="15"/>
  <c r="W138" i="15"/>
  <c r="Q138" i="15"/>
  <c r="F138" i="15"/>
  <c r="W137" i="15"/>
  <c r="Q137" i="15"/>
  <c r="F137" i="15"/>
  <c r="W136" i="15"/>
  <c r="Q136" i="15"/>
  <c r="F136" i="15"/>
  <c r="Q135" i="15"/>
  <c r="W135" i="15" s="1"/>
  <c r="F135" i="15"/>
  <c r="W134" i="15"/>
  <c r="Q134" i="15"/>
  <c r="F134" i="15"/>
  <c r="Q133" i="15"/>
  <c r="W133" i="15" s="1"/>
  <c r="F133" i="15"/>
  <c r="W132" i="15"/>
  <c r="Q132" i="15"/>
  <c r="F132" i="15"/>
  <c r="Q131" i="15"/>
  <c r="W131" i="15" s="1"/>
  <c r="F131" i="15"/>
  <c r="W130" i="15"/>
  <c r="Q130" i="15"/>
  <c r="F130" i="15"/>
  <c r="W129" i="15"/>
  <c r="Q129" i="15"/>
  <c r="F129" i="15"/>
  <c r="W128" i="15"/>
  <c r="Q128" i="15"/>
  <c r="F128" i="15"/>
  <c r="Q127" i="15"/>
  <c r="W127" i="15" s="1"/>
  <c r="F127" i="15"/>
  <c r="W126" i="15"/>
  <c r="Q126" i="15"/>
  <c r="F126" i="15"/>
  <c r="Q125" i="15"/>
  <c r="W125" i="15" s="1"/>
  <c r="F125" i="15"/>
  <c r="W124" i="15"/>
  <c r="Q124" i="15"/>
  <c r="F124" i="15"/>
  <c r="Q123" i="15"/>
  <c r="W123" i="15" s="1"/>
  <c r="F123" i="15"/>
  <c r="W122" i="15"/>
  <c r="Q122" i="15"/>
  <c r="F122" i="15"/>
  <c r="W121" i="15"/>
  <c r="Q121" i="15"/>
  <c r="F121" i="15"/>
  <c r="W120" i="15"/>
  <c r="Q120" i="15"/>
  <c r="F120" i="15"/>
  <c r="Q119" i="15"/>
  <c r="W119" i="15" s="1"/>
  <c r="F119" i="15"/>
  <c r="W118" i="15"/>
  <c r="Q118" i="15"/>
  <c r="F118" i="15"/>
  <c r="Q117" i="15"/>
  <c r="W117" i="15" s="1"/>
  <c r="F117" i="15"/>
  <c r="W116" i="15"/>
  <c r="Q116" i="15"/>
  <c r="F116" i="15"/>
  <c r="Q115" i="15"/>
  <c r="W115" i="15" s="1"/>
  <c r="F115" i="15"/>
  <c r="W114" i="15"/>
  <c r="Q114" i="15"/>
  <c r="F114" i="15"/>
  <c r="W113" i="15"/>
  <c r="Q113" i="15"/>
  <c r="F113" i="15"/>
  <c r="W112" i="15"/>
  <c r="Q112" i="15"/>
  <c r="F112" i="15"/>
  <c r="Q111" i="15"/>
  <c r="W111" i="15" s="1"/>
  <c r="F111" i="15"/>
  <c r="W110" i="15"/>
  <c r="Q110" i="15"/>
  <c r="F110" i="15"/>
  <c r="Q109" i="15"/>
  <c r="W109" i="15" s="1"/>
  <c r="F109" i="15"/>
  <c r="W108" i="15"/>
  <c r="Q108" i="15"/>
  <c r="F108" i="15"/>
  <c r="Q107" i="15"/>
  <c r="W107" i="15" s="1"/>
  <c r="F107" i="15"/>
  <c r="W106" i="15"/>
  <c r="Q106" i="15"/>
  <c r="F106" i="15"/>
  <c r="W105" i="15"/>
  <c r="Q105" i="15"/>
  <c r="F105" i="15"/>
  <c r="W104" i="15"/>
  <c r="Q104" i="15"/>
  <c r="F104" i="15"/>
  <c r="Q103" i="15"/>
  <c r="W103" i="15" s="1"/>
  <c r="F103" i="15"/>
  <c r="W102" i="15"/>
  <c r="Q102" i="15"/>
  <c r="F102" i="15"/>
  <c r="Q101" i="15"/>
  <c r="W101" i="15" s="1"/>
  <c r="F101" i="15"/>
  <c r="W100" i="15"/>
  <c r="Q100" i="15"/>
  <c r="F100" i="15"/>
  <c r="Q99" i="15"/>
  <c r="W99" i="15" s="1"/>
  <c r="F99" i="15"/>
  <c r="W98" i="15"/>
  <c r="Q98" i="15"/>
  <c r="F98" i="15"/>
  <c r="W97" i="15"/>
  <c r="Q97" i="15"/>
  <c r="F97" i="15"/>
  <c r="W96" i="15"/>
  <c r="Q96" i="15"/>
  <c r="F96" i="15"/>
  <c r="Q95" i="15"/>
  <c r="W95" i="15" s="1"/>
  <c r="F95" i="15"/>
  <c r="W94" i="15"/>
  <c r="Q94" i="15"/>
  <c r="F94" i="15"/>
  <c r="Q93" i="15"/>
  <c r="W93" i="15" s="1"/>
  <c r="F93" i="15"/>
  <c r="W92" i="15"/>
  <c r="Q92" i="15"/>
  <c r="F92" i="15"/>
  <c r="Q91" i="15"/>
  <c r="W91" i="15" s="1"/>
  <c r="F91" i="15"/>
  <c r="W90" i="15"/>
  <c r="Q90" i="15"/>
  <c r="F90" i="15"/>
  <c r="W89" i="15"/>
  <c r="Q89" i="15"/>
  <c r="F89" i="15"/>
  <c r="W88" i="15"/>
  <c r="Q88" i="15"/>
  <c r="F88" i="15"/>
  <c r="Q87" i="15"/>
  <c r="W87" i="15" s="1"/>
  <c r="F87" i="15"/>
  <c r="W86" i="15"/>
  <c r="Q86" i="15"/>
  <c r="F86" i="15"/>
  <c r="Q85" i="15"/>
  <c r="W85" i="15" s="1"/>
  <c r="F85" i="15"/>
  <c r="W84" i="15"/>
  <c r="Q84" i="15"/>
  <c r="F84" i="15"/>
  <c r="Q83" i="15"/>
  <c r="W83" i="15" s="1"/>
  <c r="F83" i="15"/>
  <c r="W82" i="15"/>
  <c r="Q82" i="15"/>
  <c r="F82" i="15"/>
  <c r="W81" i="15"/>
  <c r="Q81" i="15"/>
  <c r="F81" i="15"/>
  <c r="W80" i="15"/>
  <c r="Q80" i="15"/>
  <c r="F80" i="15"/>
  <c r="Q79" i="15"/>
  <c r="W79" i="15" s="1"/>
  <c r="F79" i="15"/>
  <c r="W78" i="15"/>
  <c r="Q78" i="15"/>
  <c r="F78" i="15"/>
  <c r="Q77" i="15"/>
  <c r="W77" i="15" s="1"/>
  <c r="F77" i="15"/>
  <c r="W76" i="15"/>
  <c r="Q76" i="15"/>
  <c r="F76" i="15"/>
  <c r="Q75" i="15"/>
  <c r="W75" i="15" s="1"/>
  <c r="F75" i="15"/>
  <c r="W74" i="15"/>
  <c r="Q74" i="15"/>
  <c r="F74" i="15"/>
  <c r="W73" i="15"/>
  <c r="Q73" i="15"/>
  <c r="F73" i="15"/>
  <c r="W72" i="15"/>
  <c r="Q72" i="15"/>
  <c r="F72" i="15"/>
  <c r="Q71" i="15"/>
  <c r="W71" i="15" s="1"/>
  <c r="F71" i="15"/>
  <c r="W70" i="15"/>
  <c r="Q70" i="15"/>
  <c r="F70" i="15"/>
  <c r="Q69" i="15"/>
  <c r="W69" i="15" s="1"/>
  <c r="F69" i="15"/>
  <c r="W68" i="15"/>
  <c r="Q68" i="15"/>
  <c r="F68" i="15"/>
  <c r="Q67" i="15"/>
  <c r="W67" i="15" s="1"/>
  <c r="F67" i="15"/>
  <c r="W66" i="15"/>
  <c r="Q66" i="15"/>
  <c r="F66" i="15"/>
  <c r="W65" i="15"/>
  <c r="Q65" i="15"/>
  <c r="F65" i="15"/>
  <c r="W64" i="15"/>
  <c r="Q64" i="15"/>
  <c r="F64" i="15"/>
  <c r="Q63" i="15"/>
  <c r="W63" i="15" s="1"/>
  <c r="F63" i="15"/>
  <c r="W62" i="15"/>
  <c r="Q62" i="15"/>
  <c r="F62" i="15"/>
  <c r="Q61" i="15"/>
  <c r="W61" i="15" s="1"/>
  <c r="F61" i="15"/>
  <c r="W60" i="15"/>
  <c r="Q60" i="15"/>
  <c r="F60" i="15"/>
  <c r="Q59" i="15"/>
  <c r="W59" i="15" s="1"/>
  <c r="F59" i="15"/>
  <c r="W58" i="15"/>
  <c r="Q58" i="15"/>
  <c r="F58" i="15"/>
  <c r="W57" i="15"/>
  <c r="Q57" i="15"/>
  <c r="F57" i="15"/>
  <c r="W56" i="15"/>
  <c r="Q56" i="15"/>
  <c r="F56" i="15"/>
  <c r="Q55" i="15"/>
  <c r="W55" i="15" s="1"/>
  <c r="F55" i="15"/>
  <c r="W54" i="15"/>
  <c r="Q54" i="15"/>
  <c r="F54" i="15"/>
  <c r="Q53" i="15"/>
  <c r="W53" i="15" s="1"/>
  <c r="F53" i="15"/>
  <c r="W52" i="15"/>
  <c r="Q52" i="15"/>
  <c r="F52" i="15"/>
  <c r="Q51" i="15"/>
  <c r="W51" i="15" s="1"/>
  <c r="F51" i="15"/>
  <c r="W50" i="15"/>
  <c r="Q50" i="15"/>
  <c r="F50" i="15"/>
  <c r="W49" i="15"/>
  <c r="Q49" i="15"/>
  <c r="F49" i="15"/>
  <c r="W48" i="15"/>
  <c r="Q48" i="15"/>
  <c r="F48" i="15"/>
  <c r="Q47" i="15"/>
  <c r="W47" i="15" s="1"/>
  <c r="F47" i="15"/>
  <c r="W46" i="15"/>
  <c r="Q46" i="15"/>
  <c r="F46" i="15"/>
  <c r="Q45" i="15"/>
  <c r="W45" i="15" s="1"/>
  <c r="F45" i="15"/>
  <c r="W44" i="15"/>
  <c r="Q44" i="15"/>
  <c r="F44" i="15"/>
  <c r="Q43" i="15"/>
  <c r="W43" i="15" s="1"/>
  <c r="F43" i="15"/>
  <c r="W42" i="15"/>
  <c r="Q42" i="15"/>
  <c r="F42" i="15"/>
  <c r="W41" i="15"/>
  <c r="Q41" i="15"/>
  <c r="F41" i="15"/>
  <c r="W40" i="15"/>
  <c r="Q40" i="15"/>
  <c r="F40" i="15"/>
  <c r="Q39" i="15"/>
  <c r="W39" i="15" s="1"/>
  <c r="F39" i="15"/>
  <c r="W38" i="15"/>
  <c r="Q38" i="15"/>
  <c r="F38" i="15"/>
  <c r="Q37" i="15"/>
  <c r="W37" i="15" s="1"/>
  <c r="F37" i="15"/>
  <c r="W36" i="15"/>
  <c r="Q36" i="15"/>
  <c r="F36" i="15"/>
  <c r="Q35" i="15"/>
  <c r="W35" i="15" s="1"/>
  <c r="F35" i="15"/>
  <c r="W34" i="15"/>
  <c r="Q34" i="15"/>
  <c r="F34" i="15"/>
  <c r="W33" i="15"/>
  <c r="Q33" i="15"/>
  <c r="F33" i="15"/>
  <c r="W32" i="15"/>
  <c r="Q32" i="15"/>
  <c r="F32" i="15"/>
  <c r="Q31" i="15"/>
  <c r="W31" i="15" s="1"/>
  <c r="F31" i="15"/>
  <c r="W30" i="15"/>
  <c r="Q30" i="15"/>
  <c r="F30" i="15"/>
  <c r="Q29" i="15"/>
  <c r="W29" i="15" s="1"/>
  <c r="F29" i="15"/>
  <c r="W28" i="15"/>
  <c r="Q28" i="15"/>
  <c r="F28" i="15"/>
  <c r="Q27" i="15"/>
  <c r="W27" i="15" s="1"/>
  <c r="F27" i="15"/>
  <c r="W26" i="15"/>
  <c r="Q26" i="15"/>
  <c r="F26" i="15"/>
  <c r="W25" i="15"/>
  <c r="Q25" i="15"/>
  <c r="F25" i="15"/>
  <c r="W24" i="15"/>
  <c r="Q24" i="15"/>
  <c r="F24" i="15"/>
  <c r="Q23" i="15"/>
  <c r="W23" i="15" s="1"/>
  <c r="F23" i="15"/>
  <c r="W22" i="15"/>
  <c r="Q22" i="15"/>
  <c r="F22" i="15"/>
  <c r="Q21" i="15"/>
  <c r="W21" i="15" s="1"/>
  <c r="F21" i="15"/>
  <c r="W20" i="15"/>
  <c r="Q20" i="15"/>
  <c r="F20" i="15"/>
  <c r="Q19" i="15"/>
  <c r="W19" i="15" s="1"/>
  <c r="F19" i="15"/>
  <c r="W18" i="15"/>
  <c r="Q18" i="15"/>
  <c r="F18" i="15"/>
  <c r="W17" i="15"/>
  <c r="Q17" i="15"/>
  <c r="F17" i="15"/>
  <c r="W16" i="15"/>
  <c r="Q16" i="15"/>
  <c r="F16" i="15"/>
  <c r="Q15" i="15"/>
  <c r="W15" i="15" s="1"/>
  <c r="F15" i="15"/>
  <c r="W14" i="15"/>
  <c r="Q14" i="15"/>
  <c r="F14" i="15"/>
  <c r="Q13" i="15"/>
  <c r="W13" i="15" s="1"/>
  <c r="F13" i="15"/>
  <c r="W12" i="15"/>
  <c r="Q12" i="15"/>
  <c r="F12" i="15"/>
  <c r="Q11" i="15"/>
  <c r="W11" i="15" s="1"/>
  <c r="F11" i="15"/>
  <c r="W10" i="15"/>
  <c r="Q10" i="15"/>
  <c r="F10" i="15"/>
  <c r="W9" i="15"/>
  <c r="Q9" i="15"/>
  <c r="F9" i="15"/>
  <c r="W8" i="15"/>
  <c r="Q8" i="15"/>
  <c r="F8" i="15"/>
  <c r="Q7" i="15"/>
  <c r="W7" i="15" s="1"/>
  <c r="F7" i="15"/>
  <c r="W6" i="15"/>
  <c r="Q6" i="15"/>
  <c r="F6" i="15"/>
  <c r="Q5" i="15"/>
  <c r="W5" i="15" s="1"/>
  <c r="F5" i="15"/>
  <c r="W4" i="15"/>
  <c r="Q4" i="15"/>
  <c r="F4" i="15"/>
  <c r="Q3" i="15"/>
  <c r="W3" i="15" s="1"/>
  <c r="F3" i="15"/>
  <c r="F182" i="15" s="1"/>
  <c r="B1" i="15"/>
  <c r="C1" i="15" s="1"/>
  <c r="D1" i="15" s="1"/>
  <c r="E1" i="15" s="1"/>
  <c r="F1" i="15" s="1"/>
  <c r="G1" i="15" s="1"/>
  <c r="H1" i="15" s="1"/>
  <c r="I1" i="15" s="1"/>
  <c r="J1" i="15" s="1"/>
  <c r="K1" i="15" s="1"/>
  <c r="L1" i="15" s="1"/>
  <c r="M1" i="15" s="1"/>
  <c r="N1" i="15" s="1"/>
  <c r="O1" i="15" s="1"/>
  <c r="P1" i="15" s="1"/>
  <c r="Q1" i="15" s="1"/>
  <c r="R1" i="15" s="1"/>
  <c r="S1" i="15" s="1"/>
  <c r="T1" i="15" s="1"/>
  <c r="U1" i="15" s="1"/>
  <c r="V1" i="15" s="1"/>
  <c r="W1" i="15" s="1"/>
  <c r="X1" i="15" s="1"/>
  <c r="Y1" i="15" s="1"/>
  <c r="Z1" i="15" s="1"/>
  <c r="D53" i="14"/>
  <c r="D51" i="14"/>
  <c r="D48" i="14"/>
  <c r="D46" i="14"/>
  <c r="W181" i="15" l="1"/>
  <c r="Q181" i="15"/>
  <c r="D40" i="14" l="1"/>
  <c r="D38" i="14"/>
  <c r="E73" i="14"/>
  <c r="E31" i="14"/>
  <c r="E71" i="14"/>
  <c r="E33" i="14"/>
  <c r="E35" i="14"/>
  <c r="D73" i="14"/>
  <c r="D71" i="14"/>
  <c r="F35" i="14" l="1"/>
  <c r="E42" i="14"/>
  <c r="D35" i="14"/>
  <c r="D31" i="14"/>
  <c r="D33" i="14"/>
  <c r="D28" i="14"/>
  <c r="D42" i="14" l="1"/>
  <c r="D55" i="14" s="1"/>
  <c r="D68" i="14" s="1"/>
  <c r="D22" i="14" l="1"/>
  <c r="D24" i="14"/>
  <c r="D26" i="14" l="1"/>
  <c r="A17" i="14"/>
  <c r="A15" i="14"/>
  <c r="F51" i="14" l="1"/>
  <c r="Z12" i="17" l="1"/>
  <c r="Z12" i="20"/>
  <c r="C42" i="14"/>
  <c r="P36" i="20" l="1"/>
  <c r="O36" i="20"/>
  <c r="H36" i="20"/>
  <c r="G36" i="20"/>
  <c r="U34" i="20"/>
  <c r="T34" i="20"/>
  <c r="S34" i="20"/>
  <c r="R34" i="20"/>
  <c r="Q34" i="20"/>
  <c r="P34" i="20"/>
  <c r="O34" i="20"/>
  <c r="N34" i="20"/>
  <c r="M34" i="20"/>
  <c r="L34" i="20"/>
  <c r="K34" i="20"/>
  <c r="J34" i="20"/>
  <c r="I34" i="20"/>
  <c r="H34" i="20"/>
  <c r="G34" i="20"/>
  <c r="F34" i="20"/>
  <c r="E34" i="20"/>
  <c r="D34" i="20"/>
  <c r="C34" i="20"/>
  <c r="T32" i="20"/>
  <c r="V32" i="20" s="1"/>
  <c r="T30" i="20"/>
  <c r="T29" i="20"/>
  <c r="T28" i="20"/>
  <c r="T27" i="20"/>
  <c r="T26" i="20"/>
  <c r="V23" i="20" s="1"/>
  <c r="T25" i="20"/>
  <c r="T24" i="20"/>
  <c r="T23" i="20"/>
  <c r="U21" i="20"/>
  <c r="U36" i="20" s="1"/>
  <c r="S21" i="20"/>
  <c r="S36" i="20" s="1"/>
  <c r="R21" i="20"/>
  <c r="R36" i="20" s="1"/>
  <c r="Q21" i="20"/>
  <c r="Q36" i="20" s="1"/>
  <c r="P21" i="20"/>
  <c r="O21" i="20"/>
  <c r="N21" i="20"/>
  <c r="N36" i="20" s="1"/>
  <c r="M21" i="20"/>
  <c r="M36" i="20" s="1"/>
  <c r="L21" i="20"/>
  <c r="L36" i="20" s="1"/>
  <c r="K21" i="20"/>
  <c r="K36" i="20" s="1"/>
  <c r="J21" i="20"/>
  <c r="J36" i="20" s="1"/>
  <c r="I21" i="20"/>
  <c r="I36" i="20" s="1"/>
  <c r="H21" i="20"/>
  <c r="G21" i="20"/>
  <c r="F21" i="20"/>
  <c r="F36" i="20" s="1"/>
  <c r="E21" i="20"/>
  <c r="E36" i="20" s="1"/>
  <c r="D21" i="20"/>
  <c r="D36" i="20" s="1"/>
  <c r="C21" i="20"/>
  <c r="C36" i="20" s="1"/>
  <c r="T19" i="20"/>
  <c r="V19" i="20" s="1"/>
  <c r="T18" i="20"/>
  <c r="T17" i="20"/>
  <c r="V17" i="20" s="1"/>
  <c r="T15" i="20"/>
  <c r="T14" i="20"/>
  <c r="V14" i="20" s="1"/>
  <c r="Z13" i="20"/>
  <c r="T13" i="20"/>
  <c r="V13" i="20" s="1"/>
  <c r="U36" i="19"/>
  <c r="M36" i="19"/>
  <c r="E36" i="19"/>
  <c r="U34" i="19"/>
  <c r="S34" i="19"/>
  <c r="S36" i="19" s="1"/>
  <c r="R34" i="19"/>
  <c r="Q34" i="19"/>
  <c r="Q36" i="19" s="1"/>
  <c r="P34" i="19"/>
  <c r="O34" i="19"/>
  <c r="N34" i="19"/>
  <c r="M34" i="19"/>
  <c r="L34" i="19"/>
  <c r="K34" i="19"/>
  <c r="K36" i="19" s="1"/>
  <c r="J34" i="19"/>
  <c r="I34" i="19"/>
  <c r="I36" i="19" s="1"/>
  <c r="H34" i="19"/>
  <c r="G34" i="19"/>
  <c r="F34" i="19"/>
  <c r="E34" i="19"/>
  <c r="D34" i="19"/>
  <c r="C34" i="19"/>
  <c r="C36" i="19" s="1"/>
  <c r="T32" i="19"/>
  <c r="V32" i="19" s="1"/>
  <c r="T30" i="19"/>
  <c r="T29" i="19"/>
  <c r="T28" i="19"/>
  <c r="T27" i="19"/>
  <c r="T26" i="19"/>
  <c r="T25" i="19"/>
  <c r="T24" i="19"/>
  <c r="T23" i="19"/>
  <c r="V23" i="19" s="1"/>
  <c r="V34" i="19" s="1"/>
  <c r="U21" i="19"/>
  <c r="S21" i="19"/>
  <c r="R21" i="19"/>
  <c r="R36" i="19" s="1"/>
  <c r="Q21" i="19"/>
  <c r="P21" i="19"/>
  <c r="P36" i="19" s="1"/>
  <c r="O21" i="19"/>
  <c r="O36" i="19" s="1"/>
  <c r="N21" i="19"/>
  <c r="N36" i="19" s="1"/>
  <c r="M21" i="19"/>
  <c r="L21" i="19"/>
  <c r="L36" i="19" s="1"/>
  <c r="K21" i="19"/>
  <c r="J21" i="19"/>
  <c r="J36" i="19" s="1"/>
  <c r="I21" i="19"/>
  <c r="H21" i="19"/>
  <c r="H36" i="19" s="1"/>
  <c r="G21" i="19"/>
  <c r="G36" i="19" s="1"/>
  <c r="F21" i="19"/>
  <c r="F36" i="19" s="1"/>
  <c r="E21" i="19"/>
  <c r="D21" i="19"/>
  <c r="D36" i="19" s="1"/>
  <c r="C21" i="19"/>
  <c r="V19" i="19"/>
  <c r="T19" i="19"/>
  <c r="T18" i="19"/>
  <c r="V13" i="19" s="1"/>
  <c r="V21" i="19" s="1"/>
  <c r="T17" i="19"/>
  <c r="V17" i="19" s="1"/>
  <c r="T15" i="19"/>
  <c r="T14" i="19"/>
  <c r="V14" i="19" s="1"/>
  <c r="Z13" i="19"/>
  <c r="T13" i="19"/>
  <c r="O36" i="18"/>
  <c r="G36" i="18"/>
  <c r="U34" i="18"/>
  <c r="S34" i="18"/>
  <c r="R34" i="18"/>
  <c r="Q34" i="18"/>
  <c r="P34" i="18"/>
  <c r="O34" i="18"/>
  <c r="N34" i="18"/>
  <c r="M34" i="18"/>
  <c r="L34" i="18"/>
  <c r="K34" i="18"/>
  <c r="J34" i="18"/>
  <c r="I34" i="18"/>
  <c r="H34" i="18"/>
  <c r="G34" i="18"/>
  <c r="F34" i="18"/>
  <c r="E34" i="18"/>
  <c r="D34" i="18"/>
  <c r="C34" i="18"/>
  <c r="T32" i="18"/>
  <c r="V32" i="18" s="1"/>
  <c r="T30" i="18"/>
  <c r="T29" i="18"/>
  <c r="T28" i="18"/>
  <c r="T27" i="18"/>
  <c r="T26" i="18"/>
  <c r="T25" i="18"/>
  <c r="T24" i="18"/>
  <c r="T23" i="18"/>
  <c r="V23" i="18" s="1"/>
  <c r="V34" i="18" s="1"/>
  <c r="U21" i="18"/>
  <c r="U36" i="18" s="1"/>
  <c r="S21" i="18"/>
  <c r="S36" i="18" s="1"/>
  <c r="R21" i="18"/>
  <c r="R36" i="18" s="1"/>
  <c r="Q21" i="18"/>
  <c r="Q36" i="18" s="1"/>
  <c r="P21" i="18"/>
  <c r="P36" i="18" s="1"/>
  <c r="O21" i="18"/>
  <c r="N21" i="18"/>
  <c r="N36" i="18" s="1"/>
  <c r="M21" i="18"/>
  <c r="M36" i="18" s="1"/>
  <c r="L21" i="18"/>
  <c r="L36" i="18" s="1"/>
  <c r="K21" i="18"/>
  <c r="K36" i="18" s="1"/>
  <c r="J21" i="18"/>
  <c r="J36" i="18" s="1"/>
  <c r="I21" i="18"/>
  <c r="I36" i="18" s="1"/>
  <c r="H21" i="18"/>
  <c r="H36" i="18" s="1"/>
  <c r="G21" i="18"/>
  <c r="F21" i="18"/>
  <c r="F36" i="18" s="1"/>
  <c r="E21" i="18"/>
  <c r="E36" i="18" s="1"/>
  <c r="D21" i="18"/>
  <c r="D36" i="18" s="1"/>
  <c r="C21" i="18"/>
  <c r="C36" i="18" s="1"/>
  <c r="T19" i="18"/>
  <c r="V19" i="18" s="1"/>
  <c r="T18" i="18"/>
  <c r="T17" i="18"/>
  <c r="T21" i="18" s="1"/>
  <c r="T15" i="18"/>
  <c r="V14" i="18"/>
  <c r="T14" i="18"/>
  <c r="Z13" i="18"/>
  <c r="V13" i="18"/>
  <c r="T13" i="18"/>
  <c r="U34" i="17"/>
  <c r="S34" i="17"/>
  <c r="R34" i="17"/>
  <c r="Q34" i="17"/>
  <c r="P34" i="17"/>
  <c r="O34" i="17"/>
  <c r="N34" i="17"/>
  <c r="N36" i="17" s="1"/>
  <c r="M34" i="17"/>
  <c r="L34" i="17"/>
  <c r="K34" i="17"/>
  <c r="J34" i="17"/>
  <c r="I34" i="17"/>
  <c r="H34" i="17"/>
  <c r="G34" i="17"/>
  <c r="F34" i="17"/>
  <c r="E34" i="17"/>
  <c r="D34" i="17"/>
  <c r="C34" i="17"/>
  <c r="T32" i="17"/>
  <c r="V32" i="17" s="1"/>
  <c r="T30" i="17"/>
  <c r="T29" i="17"/>
  <c r="T28" i="17"/>
  <c r="T27" i="17"/>
  <c r="T26" i="17"/>
  <c r="T25" i="17"/>
  <c r="T24" i="17"/>
  <c r="T23" i="17"/>
  <c r="U21" i="17"/>
  <c r="S21" i="17"/>
  <c r="S36" i="17" s="1"/>
  <c r="R21" i="17"/>
  <c r="R36" i="17" s="1"/>
  <c r="Q21" i="17"/>
  <c r="P21" i="17"/>
  <c r="O21" i="17"/>
  <c r="N21" i="17"/>
  <c r="M21" i="17"/>
  <c r="L21" i="17"/>
  <c r="K21" i="17"/>
  <c r="J21" i="17"/>
  <c r="J36" i="17" s="1"/>
  <c r="I21" i="17"/>
  <c r="H21" i="17"/>
  <c r="G21" i="17"/>
  <c r="F21" i="17"/>
  <c r="F36" i="17" s="1"/>
  <c r="E21" i="17"/>
  <c r="D21" i="17"/>
  <c r="C21" i="17"/>
  <c r="T19" i="17"/>
  <c r="V19" i="17" s="1"/>
  <c r="T18" i="17"/>
  <c r="T17" i="17"/>
  <c r="T15" i="17"/>
  <c r="T14" i="17"/>
  <c r="Z13" i="17"/>
  <c r="T13" i="17"/>
  <c r="V13" i="17" s="1"/>
  <c r="V34" i="20" l="1"/>
  <c r="V21" i="20"/>
  <c r="T21" i="20"/>
  <c r="T36" i="20" s="1"/>
  <c r="V36" i="20" s="1"/>
  <c r="T21" i="19"/>
  <c r="T36" i="19" s="1"/>
  <c r="V36" i="19" s="1"/>
  <c r="T34" i="19"/>
  <c r="V21" i="18"/>
  <c r="V17" i="18"/>
  <c r="T34" i="18"/>
  <c r="T36" i="18" s="1"/>
  <c r="V36" i="18" s="1"/>
  <c r="U36" i="17"/>
  <c r="K36" i="17"/>
  <c r="D36" i="17"/>
  <c r="L36" i="17"/>
  <c r="G36" i="17"/>
  <c r="O36" i="17"/>
  <c r="H36" i="17"/>
  <c r="P36" i="17"/>
  <c r="E36" i="17"/>
  <c r="M36" i="17"/>
  <c r="C36" i="17"/>
  <c r="V23" i="17"/>
  <c r="V34" i="17" s="1"/>
  <c r="V14" i="17"/>
  <c r="I36" i="17"/>
  <c r="Q36" i="17"/>
  <c r="T21" i="17"/>
  <c r="V17" i="17"/>
  <c r="T34" i="17"/>
  <c r="V21" i="17" l="1"/>
  <c r="T36" i="17"/>
  <c r="V36" i="17" s="1"/>
  <c r="Z12" i="19" l="1"/>
  <c r="E44" i="16"/>
  <c r="D44" i="16"/>
  <c r="T44" i="16" s="1"/>
  <c r="E43" i="16"/>
  <c r="D43" i="16"/>
  <c r="T43" i="16" s="1"/>
  <c r="S42" i="16"/>
  <c r="R42" i="16"/>
  <c r="Q42" i="16"/>
  <c r="P42" i="16"/>
  <c r="O42" i="16"/>
  <c r="N42" i="16"/>
  <c r="M42" i="16"/>
  <c r="L42" i="16"/>
  <c r="K42" i="16"/>
  <c r="J42" i="16"/>
  <c r="I42" i="16"/>
  <c r="H42" i="16"/>
  <c r="G42" i="16"/>
  <c r="F42" i="16"/>
  <c r="E42" i="16"/>
  <c r="D42" i="16"/>
  <c r="C42" i="16"/>
  <c r="G36" i="16"/>
  <c r="U34" i="16"/>
  <c r="U36" i="16" s="1"/>
  <c r="S34" i="16"/>
  <c r="R34" i="16"/>
  <c r="Q34" i="16"/>
  <c r="P34" i="16"/>
  <c r="O34" i="16"/>
  <c r="N34" i="16"/>
  <c r="M34" i="16"/>
  <c r="M36" i="16" s="1"/>
  <c r="L34" i="16"/>
  <c r="K34" i="16"/>
  <c r="J34" i="16"/>
  <c r="I34" i="16"/>
  <c r="H34" i="16"/>
  <c r="G34" i="16"/>
  <c r="F34" i="16"/>
  <c r="E34" i="16"/>
  <c r="E36" i="16" s="1"/>
  <c r="D34" i="16"/>
  <c r="C34" i="16"/>
  <c r="T32" i="16"/>
  <c r="V32" i="16" s="1"/>
  <c r="T30" i="16"/>
  <c r="T29" i="16"/>
  <c r="T28" i="16"/>
  <c r="T27" i="16"/>
  <c r="T26" i="16"/>
  <c r="T25" i="16"/>
  <c r="T24" i="16"/>
  <c r="V23" i="16" s="1"/>
  <c r="T23" i="16"/>
  <c r="U21" i="16"/>
  <c r="S21" i="16"/>
  <c r="S36" i="16" s="1"/>
  <c r="R21" i="16"/>
  <c r="R36" i="16" s="1"/>
  <c r="Q21" i="16"/>
  <c r="P21" i="16"/>
  <c r="P36" i="16" s="1"/>
  <c r="O21" i="16"/>
  <c r="O36" i="16" s="1"/>
  <c r="N21" i="16"/>
  <c r="N36" i="16" s="1"/>
  <c r="M21" i="16"/>
  <c r="L21" i="16"/>
  <c r="L36" i="16" s="1"/>
  <c r="K21" i="16"/>
  <c r="K36" i="16" s="1"/>
  <c r="J21" i="16"/>
  <c r="J36" i="16" s="1"/>
  <c r="I21" i="16"/>
  <c r="H21" i="16"/>
  <c r="H36" i="16" s="1"/>
  <c r="G21" i="16"/>
  <c r="F21" i="16"/>
  <c r="F36" i="16" s="1"/>
  <c r="E21" i="16"/>
  <c r="D21" i="16"/>
  <c r="D36" i="16" s="1"/>
  <c r="C21" i="16"/>
  <c r="V19" i="16"/>
  <c r="T19" i="16"/>
  <c r="T18" i="16"/>
  <c r="T17" i="16"/>
  <c r="T42" i="16" s="1"/>
  <c r="T15" i="16"/>
  <c r="T14" i="16"/>
  <c r="Z13" i="16"/>
  <c r="T13" i="16"/>
  <c r="V13" i="16" s="1"/>
  <c r="F66" i="14"/>
  <c r="F19" i="14"/>
  <c r="V14" i="16" l="1"/>
  <c r="C36" i="16"/>
  <c r="T34" i="16"/>
  <c r="V17" i="16"/>
  <c r="Z12" i="18"/>
  <c r="Q36" i="16"/>
  <c r="I36" i="16"/>
  <c r="V34" i="16"/>
  <c r="T21" i="16"/>
  <c r="C55" i="14"/>
  <c r="F64" i="14"/>
  <c r="F48" i="14"/>
  <c r="F60" i="14"/>
  <c r="F38" i="14"/>
  <c r="F40" i="14"/>
  <c r="F42" i="14" l="1"/>
  <c r="F62" i="14"/>
  <c r="V21" i="16"/>
  <c r="T36" i="16"/>
  <c r="V36" i="16" s="1"/>
  <c r="C68" i="14"/>
  <c r="K6" i="19" l="1"/>
  <c r="Z14" i="19"/>
  <c r="P6" i="19"/>
  <c r="R6" i="19"/>
  <c r="L6" i="19"/>
  <c r="I6" i="19"/>
  <c r="O6" i="19"/>
  <c r="Q6" i="19"/>
  <c r="N6" i="19"/>
  <c r="M6" i="19"/>
  <c r="J6" i="19"/>
  <c r="K6" i="18"/>
  <c r="N6" i="18"/>
  <c r="Z14" i="18"/>
  <c r="O6" i="18"/>
  <c r="I6" i="18"/>
  <c r="P6" i="18"/>
  <c r="J6" i="18"/>
  <c r="L6" i="18"/>
  <c r="Q6" i="18"/>
  <c r="M6" i="18"/>
  <c r="R6" i="18"/>
  <c r="T6" i="18" l="1"/>
  <c r="T6" i="19"/>
  <c r="Z23" i="18"/>
  <c r="Z25" i="18" s="1"/>
  <c r="AB17" i="18"/>
  <c r="AC18" i="18"/>
  <c r="Z23" i="19"/>
  <c r="Z25" i="19" s="1"/>
  <c r="AB17" i="19"/>
  <c r="AC18" i="19"/>
  <c r="F46" i="14" l="1"/>
  <c r="F53" i="14" l="1"/>
  <c r="F55" i="14" s="1"/>
  <c r="F58" i="14" l="1"/>
  <c r="Z12" i="16"/>
  <c r="E55" i="14"/>
  <c r="K6" i="20"/>
  <c r="P6" i="20"/>
  <c r="Z14" i="20"/>
  <c r="M6" i="20"/>
  <c r="O6" i="20"/>
  <c r="I6" i="20"/>
  <c r="Q6" i="20"/>
  <c r="N6" i="20"/>
  <c r="J6" i="20"/>
  <c r="L6" i="20"/>
  <c r="R6" i="20"/>
  <c r="E68" i="14" l="1"/>
  <c r="L6" i="16"/>
  <c r="Z23" i="20"/>
  <c r="Z25" i="20" s="1"/>
  <c r="AC18" i="20"/>
  <c r="AB17" i="20"/>
  <c r="R6" i="17"/>
  <c r="Q6" i="17"/>
  <c r="O6" i="17"/>
  <c r="I6" i="17"/>
  <c r="P6" i="17"/>
  <c r="K6" i="17"/>
  <c r="N6" i="17"/>
  <c r="J6" i="17"/>
  <c r="M6" i="17"/>
  <c r="L6" i="17"/>
  <c r="Z14" i="17"/>
  <c r="T6" i="20"/>
  <c r="F68" i="14" l="1"/>
  <c r="Z14" i="16"/>
  <c r="AB17" i="16" s="1"/>
  <c r="I6" i="16"/>
  <c r="M6" i="16"/>
  <c r="N6" i="16"/>
  <c r="J6" i="16"/>
  <c r="Q6" i="16"/>
  <c r="O6" i="16"/>
  <c r="P6" i="16"/>
  <c r="R6" i="16"/>
  <c r="K6" i="16"/>
  <c r="T6" i="17"/>
  <c r="Z23" i="17"/>
  <c r="Z25" i="17" s="1"/>
  <c r="AC18" i="17"/>
  <c r="AB17" i="17"/>
  <c r="Z23" i="16" l="1"/>
  <c r="Z25" i="16" s="1"/>
  <c r="AC18" i="16"/>
  <c r="T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62848FD6-19CC-482F-A504-E8FCCFD4EE07}">
      <text>
        <r>
          <rPr>
            <sz val="10"/>
            <color rgb="FF000000"/>
            <rFont val="Courier"/>
            <scheme val="minor"/>
          </rPr>
          <t>======
ID#AAAAUAzswds
Mark Rydberg    (2022-01-24 21:22:45)
Book to FY23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40C5EF85-3886-4642-AA05-7F17B93EDBA3}">
      <text>
        <r>
          <rPr>
            <sz val="10"/>
            <color rgb="FF000000"/>
            <rFont val="Courier"/>
            <scheme val="minor"/>
          </rPr>
          <t>======
ID#AAAAUAzswds
Mark Rydberg    (2022-01-24 21:22:45)
Book to FY23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5525130A-6DC2-4EC6-866E-601650D3BC6D}">
      <text>
        <r>
          <rPr>
            <sz val="10"/>
            <color rgb="FF000000"/>
            <rFont val="Courier"/>
            <scheme val="minor"/>
          </rPr>
          <t>======
ID#AAAAUAzswds
Mark Rydberg    (2022-01-24 21:22:45)
Book to FY23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1581F03A-0F96-4346-BEE9-DB2AF7564423}">
      <text>
        <r>
          <rPr>
            <sz val="10"/>
            <color rgb="FF000000"/>
            <rFont val="Courier"/>
            <scheme val="minor"/>
          </rPr>
          <t>======
ID#AAAAUAzswds
Mark Rydberg    (2022-01-24 21:22:45)
Book to FY23</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FD8D317F-0DCA-4A30-B8AB-49709312C1D8}">
      <text>
        <r>
          <rPr>
            <sz val="10"/>
            <color rgb="FF000000"/>
            <rFont val="Courier"/>
            <scheme val="minor"/>
          </rPr>
          <t>======
ID#AAAAUAzswds
Mark Rydberg    (2022-01-24 21:22:45)
Book to FY23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 Kahle</author>
  </authors>
  <commentList>
    <comment ref="O87" authorId="0" shapeId="0" xr:uid="{985C4C9F-D561-486D-AE7B-363D72404112}">
      <text>
        <r>
          <rPr>
            <b/>
            <sz val="9"/>
            <color rgb="FF000000"/>
            <rFont val="Tahoma"/>
            <family val="2"/>
          </rPr>
          <t xml:space="preserve">Fixed at 3.515
</t>
        </r>
      </text>
    </comment>
  </commentList>
</comments>
</file>

<file path=xl/sharedStrings.xml><?xml version="1.0" encoding="utf-8"?>
<sst xmlns="http://schemas.openxmlformats.org/spreadsheetml/2006/main" count="3594" uniqueCount="819">
  <si>
    <t>This spreadsheet has many links.  Please double check your work to make sure that links are working properly.  CDE is not responsible for any errors or discrepancies in the creation of your budget.  It is your responsibility to ensure that all formulas and totals are working properly.</t>
  </si>
  <si>
    <t>Input</t>
  </si>
  <si>
    <t>DON'T PRINT ABOVE THIS ROW.  PRINT RANGE IS A10-F89</t>
  </si>
  <si>
    <t>* when printed,  the form will print without these comments</t>
  </si>
  <si>
    <t>CDE Mill Levy Certification Form</t>
  </si>
  <si>
    <t>Primary County</t>
  </si>
  <si>
    <t>Certification of Mill Levies</t>
  </si>
  <si>
    <t>District Name</t>
  </si>
  <si>
    <t>WORKSHEET SECTION - NOT LOCKED</t>
  </si>
  <si>
    <t>School District  Final Mill Certified:</t>
  </si>
  <si>
    <t>Colorado Department of Education (CDE)  Mill Levy Estimated as of</t>
  </si>
  <si>
    <t>School District Final Mill Levy Certified as of</t>
  </si>
  <si>
    <t>Estimated School District Revenue from Mill Levy</t>
  </si>
  <si>
    <t>CATEGORY</t>
  </si>
  <si>
    <t>Assessed Valuation</t>
  </si>
  <si>
    <t>August Column Comments</t>
  </si>
  <si>
    <t>Gross Assessed Valuation</t>
  </si>
  <si>
    <t>Provided by County Assessor</t>
  </si>
  <si>
    <t xml:space="preserve">* The gross assessed valuation comes from the County's certification of valuation.  </t>
  </si>
  <si>
    <t xml:space="preserve">  </t>
  </si>
  <si>
    <t>Tax Increment Financing</t>
  </si>
  <si>
    <t>Provided by Assessor (may not be included)</t>
  </si>
  <si>
    <t>* Tax Increment Financing districts in your district split off property taxes related to approved TIF districts.</t>
  </si>
  <si>
    <t>Net Assessed Valuation</t>
  </si>
  <si>
    <t>* Gross assessed valuation less approved AV related to approved TIF districts.</t>
  </si>
  <si>
    <t>Abatements</t>
  </si>
  <si>
    <t xml:space="preserve">* Tax Abatements are found on the same certification of valuation.  This amount is important since it allows for the </t>
  </si>
  <si>
    <t>(Total across all counties)</t>
  </si>
  <si>
    <t xml:space="preserve">   calculation of the abatement levy in order to get 100% of total program funding.</t>
  </si>
  <si>
    <t xml:space="preserve"> 1.  Mill Levy per HB20-1418</t>
  </si>
  <si>
    <t>* The lesser of number of mills needed to get to total program, mill levy just prior to de-taboring year or 27 mills.</t>
  </si>
  <si>
    <t xml:space="preserve">    1a.  HB20-1418 Tax Credit</t>
  </si>
  <si>
    <t>* The district's school board will need to grant this tax credit by resolution per HB20-1418.</t>
  </si>
  <si>
    <t>* Tax credit will be 1.0 mills lower than prior year credit until credit is zero for district.</t>
  </si>
  <si>
    <t xml:space="preserve">    1b.  HB20-1418 Net Mill Levy</t>
  </si>
  <si>
    <t>* Net mills should equal prior year net plus one (or fraction if prior year credit was less than one).</t>
  </si>
  <si>
    <t>(amt collected by county)</t>
  </si>
  <si>
    <t xml:space="preserve"> 2.  Categorical Buyout</t>
  </si>
  <si>
    <t>ONLY FULLY LOCALLY FUNDED Based on Aug 25 NAV</t>
  </si>
  <si>
    <t>Only used for districts that are fully funded by Local Property tax. Can vary year to year. Contact Tim Kahle</t>
  </si>
  <si>
    <t xml:space="preserve"> 3. Total Program Reserve Fund</t>
  </si>
  <si>
    <t xml:space="preserve"> 4.  Total Program Mill</t>
  </si>
  <si>
    <t xml:space="preserve"> 5.  Overrides:</t>
  </si>
  <si>
    <t>* District is responsible for calculating the voter-approved mill levy. Please verify your voter-approved override mill based on your ballot question. Your MLO may be fixed mill or fixed dollar or a combination.</t>
  </si>
  <si>
    <t xml:space="preserve">      a.  Hold harmless </t>
  </si>
  <si>
    <t>Hold Harmless and Excess Hold Harmless mills will be computed by the District based upon the dollar amounts provided in the funding worksheet available online.</t>
  </si>
  <si>
    <t xml:space="preserve">      b.  Excess hold harmless</t>
  </si>
  <si>
    <t>Voter Approved Override</t>
  </si>
  <si>
    <t>5c. Total Voter Approved Override</t>
  </si>
  <si>
    <t xml:space="preserve"> 6.  Abatement</t>
  </si>
  <si>
    <t xml:space="preserve"> 7.  Total General Fund</t>
  </si>
  <si>
    <t>Total General Fund Mill Levy</t>
  </si>
  <si>
    <t xml:space="preserve"> 8.  Bond Redemption Fund</t>
  </si>
  <si>
    <t>Not Provided</t>
  </si>
  <si>
    <t>* District is responsible for calculating the bond redemption mill levy based upon the amount need to pay the UPCOMING June and Dec Interest &amp; Principal payments. Every ballot question lists a maximum annual amount that can be collected.  DO NOT EXCEED.</t>
  </si>
  <si>
    <t xml:space="preserve"> 9.  Transportation Fund</t>
  </si>
  <si>
    <t xml:space="preserve"> 10.  Special Building and Technology</t>
  </si>
  <si>
    <t xml:space="preserve"> 11.  Supplemental capital construction,  technology, &amp; maintenance Fund</t>
  </si>
  <si>
    <t>12. Other (Loan, Charter School,)</t>
  </si>
  <si>
    <t>Details for #12 other</t>
  </si>
  <si>
    <t>13. Total</t>
  </si>
  <si>
    <t>*Total Mills across all Funds</t>
  </si>
  <si>
    <t>Information provided by state for certification to county treasurer:</t>
  </si>
  <si>
    <t>No Need to Calculate with change in Dec AV from Aug 25</t>
  </si>
  <si>
    <t>14. Estimated Full Funding Mill Levy</t>
  </si>
  <si>
    <t>Form completed by</t>
  </si>
  <si>
    <t>Phone Number</t>
  </si>
  <si>
    <t>V64</t>
  </si>
  <si>
    <t>V65</t>
  </si>
  <si>
    <t>Hold</t>
  </si>
  <si>
    <t>Excess</t>
  </si>
  <si>
    <t>Harmless</t>
  </si>
  <si>
    <t>Hold Harmless</t>
  </si>
  <si>
    <t>DIST</t>
  </si>
  <si>
    <t>COUNTY</t>
  </si>
  <si>
    <t>DISTRICT</t>
  </si>
  <si>
    <t>0010</t>
  </si>
  <si>
    <t>ADAMS</t>
  </si>
  <si>
    <t>MAPLETON</t>
  </si>
  <si>
    <t>0020</t>
  </si>
  <si>
    <t>ADAMS 12 FIVE STAR</t>
  </si>
  <si>
    <t>0030</t>
  </si>
  <si>
    <t>COMMERCE CITY</t>
  </si>
  <si>
    <t>0040</t>
  </si>
  <si>
    <t>BRIGHTON</t>
  </si>
  <si>
    <t>0050</t>
  </si>
  <si>
    <t>BENNETT</t>
  </si>
  <si>
    <t>0060</t>
  </si>
  <si>
    <t>STRASBURG</t>
  </si>
  <si>
    <t>0070</t>
  </si>
  <si>
    <t>WESTMINSTER</t>
  </si>
  <si>
    <t>0100</t>
  </si>
  <si>
    <t>ALAMOSA</t>
  </si>
  <si>
    <t>0110</t>
  </si>
  <si>
    <t>SANGRE DE CRISTO</t>
  </si>
  <si>
    <t>0120</t>
  </si>
  <si>
    <t>ARAPAHOE</t>
  </si>
  <si>
    <t>ENGLEWOOD</t>
  </si>
  <si>
    <t>0123</t>
  </si>
  <si>
    <t>SHERIDAN</t>
  </si>
  <si>
    <t>0130</t>
  </si>
  <si>
    <t>CHERRY CREEK</t>
  </si>
  <si>
    <t>0140</t>
  </si>
  <si>
    <t>LITTLETON</t>
  </si>
  <si>
    <t>0170</t>
  </si>
  <si>
    <t>DEER TRAIL</t>
  </si>
  <si>
    <t>0180</t>
  </si>
  <si>
    <t>AURORA</t>
  </si>
  <si>
    <t>0190</t>
  </si>
  <si>
    <t>BYERS</t>
  </si>
  <si>
    <t>0220</t>
  </si>
  <si>
    <t>ARCHULETA</t>
  </si>
  <si>
    <t>0230</t>
  </si>
  <si>
    <t>BACA</t>
  </si>
  <si>
    <t>WALSH</t>
  </si>
  <si>
    <t>0240</t>
  </si>
  <si>
    <t>PRITCHETT</t>
  </si>
  <si>
    <t>0250</t>
  </si>
  <si>
    <t>SPRINGFIELD</t>
  </si>
  <si>
    <t>0260</t>
  </si>
  <si>
    <t>VILAS</t>
  </si>
  <si>
    <t>0270</t>
  </si>
  <si>
    <t>CAMPO</t>
  </si>
  <si>
    <t>0290</t>
  </si>
  <si>
    <t>BENT</t>
  </si>
  <si>
    <t>LAS ANIMAS</t>
  </si>
  <si>
    <t>0310</t>
  </si>
  <si>
    <t>MCCLAVE</t>
  </si>
  <si>
    <t>0470</t>
  </si>
  <si>
    <t>BOULDER</t>
  </si>
  <si>
    <t>ST VRAIN</t>
  </si>
  <si>
    <t>0480</t>
  </si>
  <si>
    <t>0490</t>
  </si>
  <si>
    <t>CHAFFEE</t>
  </si>
  <si>
    <t>BUENA VISTA</t>
  </si>
  <si>
    <t>0500</t>
  </si>
  <si>
    <t>SALIDA</t>
  </si>
  <si>
    <t>0510</t>
  </si>
  <si>
    <t>CHEYENNE</t>
  </si>
  <si>
    <t>KIT CARSON</t>
  </si>
  <si>
    <t>0520</t>
  </si>
  <si>
    <t>0540</t>
  </si>
  <si>
    <t>CLEAR CREEK</t>
  </si>
  <si>
    <t>0550</t>
  </si>
  <si>
    <t>CONEJOS</t>
  </si>
  <si>
    <t>NORTH CONEJOS</t>
  </si>
  <si>
    <t>0560</t>
  </si>
  <si>
    <t>SANFORD</t>
  </si>
  <si>
    <t>0580</t>
  </si>
  <si>
    <t>SOUTH CONEJOS</t>
  </si>
  <si>
    <t>0640</t>
  </si>
  <si>
    <t>COSTILLA</t>
  </si>
  <si>
    <t>CENTENNIAL</t>
  </si>
  <si>
    <t>0740</t>
  </si>
  <si>
    <t>SIERRA GRANDE</t>
  </si>
  <si>
    <t>0770</t>
  </si>
  <si>
    <t>CROWLEY</t>
  </si>
  <si>
    <t>0860</t>
  </si>
  <si>
    <t>CUSTER</t>
  </si>
  <si>
    <t>WESTCLIFFE</t>
  </si>
  <si>
    <t>0870</t>
  </si>
  <si>
    <t>DELTA</t>
  </si>
  <si>
    <t>0880</t>
  </si>
  <si>
    <t>DENVER</t>
  </si>
  <si>
    <t>0890</t>
  </si>
  <si>
    <t>DOLORES</t>
  </si>
  <si>
    <t>0900</t>
  </si>
  <si>
    <t>DOUGLAS</t>
  </si>
  <si>
    <t>0910</t>
  </si>
  <si>
    <t>EAGLE</t>
  </si>
  <si>
    <t>0920</t>
  </si>
  <si>
    <t>ELBERT</t>
  </si>
  <si>
    <t>ELIZABETH</t>
  </si>
  <si>
    <t>0930</t>
  </si>
  <si>
    <t>KIOWA</t>
  </si>
  <si>
    <t>0940</t>
  </si>
  <si>
    <t>BIG SANDY</t>
  </si>
  <si>
    <t>0950</t>
  </si>
  <si>
    <t>0960</t>
  </si>
  <si>
    <t>AGATE</t>
  </si>
  <si>
    <t>0970</t>
  </si>
  <si>
    <t>EL PASO</t>
  </si>
  <si>
    <t>CALHAN</t>
  </si>
  <si>
    <t>0980</t>
  </si>
  <si>
    <t>HARRISON</t>
  </si>
  <si>
    <t>0990</t>
  </si>
  <si>
    <t>WIDEFIELD</t>
  </si>
  <si>
    <t>1000</t>
  </si>
  <si>
    <t>FOUNTAIN</t>
  </si>
  <si>
    <t>1010</t>
  </si>
  <si>
    <t>COLORADO SPRINGS</t>
  </si>
  <si>
    <t>1020</t>
  </si>
  <si>
    <t>CHEYENNE MOUNTAIN</t>
  </si>
  <si>
    <t>1030</t>
  </si>
  <si>
    <t>MANITOU SPRINGS</t>
  </si>
  <si>
    <t>1040</t>
  </si>
  <si>
    <t>ACADEMY</t>
  </si>
  <si>
    <t>1050</t>
  </si>
  <si>
    <t>ELLICOTT</t>
  </si>
  <si>
    <t>1060</t>
  </si>
  <si>
    <t>PEYTON</t>
  </si>
  <si>
    <t>1070</t>
  </si>
  <si>
    <t>HANOVER</t>
  </si>
  <si>
    <t>1080</t>
  </si>
  <si>
    <t>LEWIS-PALMER</t>
  </si>
  <si>
    <t>1110</t>
  </si>
  <si>
    <t>DISTRICT 49</t>
  </si>
  <si>
    <t>1120</t>
  </si>
  <si>
    <t>EDISON</t>
  </si>
  <si>
    <t>1130</t>
  </si>
  <si>
    <t>MIAMI-YODER</t>
  </si>
  <si>
    <t>1140</t>
  </si>
  <si>
    <t>FREMONT</t>
  </si>
  <si>
    <t>CANON CITY</t>
  </si>
  <si>
    <t>1150</t>
  </si>
  <si>
    <t>FREMONT RE-2</t>
  </si>
  <si>
    <t>1160</t>
  </si>
  <si>
    <t>COTOPAXI</t>
  </si>
  <si>
    <t>1180</t>
  </si>
  <si>
    <t>GARFIELD</t>
  </si>
  <si>
    <t>ROARING FORK</t>
  </si>
  <si>
    <t>1195</t>
  </si>
  <si>
    <t>RIFLE</t>
  </si>
  <si>
    <t>1220</t>
  </si>
  <si>
    <t>PARACHUTE</t>
  </si>
  <si>
    <t>1330</t>
  </si>
  <si>
    <t>GILPIN</t>
  </si>
  <si>
    <t>1340</t>
  </si>
  <si>
    <t>GRAND</t>
  </si>
  <si>
    <t>WEST GRAND</t>
  </si>
  <si>
    <t>1350</t>
  </si>
  <si>
    <t>EAST GRAND</t>
  </si>
  <si>
    <t>1360</t>
  </si>
  <si>
    <t>GUNNISON</t>
  </si>
  <si>
    <t>1380</t>
  </si>
  <si>
    <t>HINSDALE</t>
  </si>
  <si>
    <t>1390</t>
  </si>
  <si>
    <t>HUERFANO</t>
  </si>
  <si>
    <t>1400</t>
  </si>
  <si>
    <t>LA VETA</t>
  </si>
  <si>
    <t>1410</t>
  </si>
  <si>
    <t>JACKSON</t>
  </si>
  <si>
    <t>NORTH PARK</t>
  </si>
  <si>
    <t>1420</t>
  </si>
  <si>
    <t>JEFFERSON</t>
  </si>
  <si>
    <t>1430</t>
  </si>
  <si>
    <t>EADS</t>
  </si>
  <si>
    <t>1440</t>
  </si>
  <si>
    <t>PLAINVIEW</t>
  </si>
  <si>
    <t>1450</t>
  </si>
  <si>
    <t>ARRIBA-FLAGLER</t>
  </si>
  <si>
    <t>1460</t>
  </si>
  <si>
    <t>HI PLAINS</t>
  </si>
  <si>
    <t>1480</t>
  </si>
  <si>
    <t>STRATTON</t>
  </si>
  <si>
    <t>1490</t>
  </si>
  <si>
    <t>BETHUNE</t>
  </si>
  <si>
    <t>1500</t>
  </si>
  <si>
    <t>BURLINGTON</t>
  </si>
  <si>
    <t>1510</t>
  </si>
  <si>
    <t>LAKE</t>
  </si>
  <si>
    <t>1520</t>
  </si>
  <si>
    <t>LA PLATA</t>
  </si>
  <si>
    <t>DURANGO</t>
  </si>
  <si>
    <t>1530</t>
  </si>
  <si>
    <t>BAYFIELD</t>
  </si>
  <si>
    <t>1540</t>
  </si>
  <si>
    <t>IGNACIO</t>
  </si>
  <si>
    <t>1550</t>
  </si>
  <si>
    <t>LARIMER</t>
  </si>
  <si>
    <t>POUDRE</t>
  </si>
  <si>
    <t>1560</t>
  </si>
  <si>
    <t>THOMPSON</t>
  </si>
  <si>
    <t>1570</t>
  </si>
  <si>
    <t>ESTES PARK</t>
  </si>
  <si>
    <t>1580</t>
  </si>
  <si>
    <t>TRINIDAD</t>
  </si>
  <si>
    <t>1590</t>
  </si>
  <si>
    <t>PRIMERO</t>
  </si>
  <si>
    <t>1600</t>
  </si>
  <si>
    <t>HOEHNE</t>
  </si>
  <si>
    <t>1620</t>
  </si>
  <si>
    <t>AGUILAR</t>
  </si>
  <si>
    <t>1750</t>
  </si>
  <si>
    <t>BRANSON</t>
  </si>
  <si>
    <t>1760</t>
  </si>
  <si>
    <t>KIM</t>
  </si>
  <si>
    <t>1780</t>
  </si>
  <si>
    <t>LINCOLN</t>
  </si>
  <si>
    <t>GENOA-HUGO</t>
  </si>
  <si>
    <t>1790</t>
  </si>
  <si>
    <t>LIMON</t>
  </si>
  <si>
    <t>1810</t>
  </si>
  <si>
    <t>KARVAL</t>
  </si>
  <si>
    <t>1828</t>
  </si>
  <si>
    <t>LOGAN</t>
  </si>
  <si>
    <t>VALLEY</t>
  </si>
  <si>
    <t>1850</t>
  </si>
  <si>
    <t>FRENCHMAN</t>
  </si>
  <si>
    <t>1860</t>
  </si>
  <si>
    <t>BUFFALO</t>
  </si>
  <si>
    <t>1870</t>
  </si>
  <si>
    <t>PLATEAU</t>
  </si>
  <si>
    <t>1980</t>
  </si>
  <si>
    <t>MESA</t>
  </si>
  <si>
    <t>DEBEQUE</t>
  </si>
  <si>
    <t>1990</t>
  </si>
  <si>
    <t>PLATEAU VALLEY</t>
  </si>
  <si>
    <t>2000</t>
  </si>
  <si>
    <t>MESA VALLEY</t>
  </si>
  <si>
    <t>2010</t>
  </si>
  <si>
    <t>MINERAL</t>
  </si>
  <si>
    <t>CREEDE</t>
  </si>
  <si>
    <t>2020</t>
  </si>
  <si>
    <t>MOFFAT</t>
  </si>
  <si>
    <t>2035</t>
  </si>
  <si>
    <t>MONTEZUMA</t>
  </si>
  <si>
    <t>2055</t>
  </si>
  <si>
    <t>2070</t>
  </si>
  <si>
    <t>MANCOS</t>
  </si>
  <si>
    <t>2180</t>
  </si>
  <si>
    <t>MONTROSE</t>
  </si>
  <si>
    <t>2190</t>
  </si>
  <si>
    <t>WEST END</t>
  </si>
  <si>
    <t>2395</t>
  </si>
  <si>
    <t>MORGAN</t>
  </si>
  <si>
    <t>BRUSH</t>
  </si>
  <si>
    <t>2405</t>
  </si>
  <si>
    <t>FT. MORGAN</t>
  </si>
  <si>
    <t>2505</t>
  </si>
  <si>
    <t>WELDON</t>
  </si>
  <si>
    <t>2515</t>
  </si>
  <si>
    <t>WIGGINS</t>
  </si>
  <si>
    <t>2520</t>
  </si>
  <si>
    <t>OTERO</t>
  </si>
  <si>
    <t>EAST OTERO</t>
  </si>
  <si>
    <t>2530</t>
  </si>
  <si>
    <t>ROCKY FORD</t>
  </si>
  <si>
    <t>2535</t>
  </si>
  <si>
    <t>MANZANOLA</t>
  </si>
  <si>
    <t>2540</t>
  </si>
  <si>
    <t>FOWLER</t>
  </si>
  <si>
    <t>2560</t>
  </si>
  <si>
    <t>CHERAW</t>
  </si>
  <si>
    <t>2570</t>
  </si>
  <si>
    <t>SWINK</t>
  </si>
  <si>
    <t>2580</t>
  </si>
  <si>
    <t>OURAY</t>
  </si>
  <si>
    <t>2590</t>
  </si>
  <si>
    <t>RIDGWAY</t>
  </si>
  <si>
    <t>2600</t>
  </si>
  <si>
    <t>PARK</t>
  </si>
  <si>
    <t>PLATTE CANYON</t>
  </si>
  <si>
    <t>2610</t>
  </si>
  <si>
    <t>2620</t>
  </si>
  <si>
    <t>PHILLIPS</t>
  </si>
  <si>
    <t>HOLYOKE</t>
  </si>
  <si>
    <t>2630</t>
  </si>
  <si>
    <t>HAXTUN</t>
  </si>
  <si>
    <t>2640</t>
  </si>
  <si>
    <t>PITKIN</t>
  </si>
  <si>
    <t>ASPEN</t>
  </si>
  <si>
    <t>2650</t>
  </si>
  <si>
    <t>PROWERS</t>
  </si>
  <si>
    <t>GRANADA</t>
  </si>
  <si>
    <t>2660</t>
  </si>
  <si>
    <t>LAMAR</t>
  </si>
  <si>
    <t>2670</t>
  </si>
  <si>
    <t>HOLLY</t>
  </si>
  <si>
    <t>2680</t>
  </si>
  <si>
    <t>WILEY</t>
  </si>
  <si>
    <t>2690</t>
  </si>
  <si>
    <t>PUEBLO</t>
  </si>
  <si>
    <t>PUEBLO CITY</t>
  </si>
  <si>
    <t>2700</t>
  </si>
  <si>
    <t>PUEBLO RURAL</t>
  </si>
  <si>
    <t>2710</t>
  </si>
  <si>
    <t>RIO BLANCO</t>
  </si>
  <si>
    <t>MEEKER</t>
  </si>
  <si>
    <t>2720</t>
  </si>
  <si>
    <t>RANGELY</t>
  </si>
  <si>
    <t>2730</t>
  </si>
  <si>
    <t>RIO GRANDE</t>
  </si>
  <si>
    <t>DEL NORTE</t>
  </si>
  <si>
    <t>2740</t>
  </si>
  <si>
    <t>MONTE VISTA</t>
  </si>
  <si>
    <t>2750</t>
  </si>
  <si>
    <t>SARGENT</t>
  </si>
  <si>
    <t>2760</t>
  </si>
  <si>
    <t>ROUTT</t>
  </si>
  <si>
    <t>HAYDEN</t>
  </si>
  <si>
    <t>2770</t>
  </si>
  <si>
    <t>STEAMBOAT SPRINGS</t>
  </si>
  <si>
    <t>2780</t>
  </si>
  <si>
    <t>SOUTH ROUTT</t>
  </si>
  <si>
    <t>2790</t>
  </si>
  <si>
    <t>SAGUACHE</t>
  </si>
  <si>
    <t>MOUNTAIN VALLEY</t>
  </si>
  <si>
    <t>2800</t>
  </si>
  <si>
    <t>2810</t>
  </si>
  <si>
    <t>CENTER</t>
  </si>
  <si>
    <t>2820</t>
  </si>
  <si>
    <t>SAN JUAN</t>
  </si>
  <si>
    <t>SILVERTON</t>
  </si>
  <si>
    <t>2830</t>
  </si>
  <si>
    <t>SAN MIGUEL</t>
  </si>
  <si>
    <t>TELLURIDE</t>
  </si>
  <si>
    <t>2840</t>
  </si>
  <si>
    <t>NORWOOD</t>
  </si>
  <si>
    <t>2862</t>
  </si>
  <si>
    <t>SEDGWICK</t>
  </si>
  <si>
    <t>JULESBURG</t>
  </si>
  <si>
    <t>2865</t>
  </si>
  <si>
    <t>REVERE</t>
  </si>
  <si>
    <t>3000</t>
  </si>
  <si>
    <t>SUMMIT</t>
  </si>
  <si>
    <t>3010</t>
  </si>
  <si>
    <t>TELLER</t>
  </si>
  <si>
    <t>CRIPPLE CREEK</t>
  </si>
  <si>
    <t>3020</t>
  </si>
  <si>
    <t>WOODLAND PARK</t>
  </si>
  <si>
    <t>3030</t>
  </si>
  <si>
    <t>WASHINGTON</t>
  </si>
  <si>
    <t>AKRON</t>
  </si>
  <si>
    <t>3040</t>
  </si>
  <si>
    <t>ARICKAREE</t>
  </si>
  <si>
    <t>3050</t>
  </si>
  <si>
    <t>OTIS</t>
  </si>
  <si>
    <t>3060</t>
  </si>
  <si>
    <t>LONE STAR</t>
  </si>
  <si>
    <t>3070</t>
  </si>
  <si>
    <t>WOODLIN</t>
  </si>
  <si>
    <t>3080</t>
  </si>
  <si>
    <t>WELD</t>
  </si>
  <si>
    <t>GILCREST</t>
  </si>
  <si>
    <t>3085</t>
  </si>
  <si>
    <t>EATON</t>
  </si>
  <si>
    <t>3090</t>
  </si>
  <si>
    <t>KEENESBURG</t>
  </si>
  <si>
    <t>3100</t>
  </si>
  <si>
    <t>WINDSOR</t>
  </si>
  <si>
    <t>3110</t>
  </si>
  <si>
    <t>JOHNSTOWN</t>
  </si>
  <si>
    <t>3120</t>
  </si>
  <si>
    <t>GREELEY</t>
  </si>
  <si>
    <t>3130</t>
  </si>
  <si>
    <t>PLATTE VALLEY</t>
  </si>
  <si>
    <t>3140</t>
  </si>
  <si>
    <t>FT. LUPTON</t>
  </si>
  <si>
    <t>3145</t>
  </si>
  <si>
    <t>AULT-HIGHLAND</t>
  </si>
  <si>
    <t>3146</t>
  </si>
  <si>
    <t>BRIGGSDALE</t>
  </si>
  <si>
    <t>3147</t>
  </si>
  <si>
    <t>PRAIRIE</t>
  </si>
  <si>
    <t>3148</t>
  </si>
  <si>
    <t>PAWNEE</t>
  </si>
  <si>
    <t>3200</t>
  </si>
  <si>
    <t>YUMA</t>
  </si>
  <si>
    <t>YUMA 1</t>
  </si>
  <si>
    <t>3210</t>
  </si>
  <si>
    <t>WRAY RD-2</t>
  </si>
  <si>
    <t>3220</t>
  </si>
  <si>
    <t>IDALIA RJ-3</t>
  </si>
  <si>
    <t>3230</t>
  </si>
  <si>
    <t>LIBERTY J-4</t>
  </si>
  <si>
    <t xml:space="preserve">Each Fund Collections </t>
  </si>
  <si>
    <t>For each fund that has a Property Tax component,</t>
  </si>
  <si>
    <t>these tabs tracks the distributions from the County</t>
  </si>
  <si>
    <t xml:space="preserve">Treasurer in Columns C-R.  </t>
  </si>
  <si>
    <t>AUDIT ENTRY: Booking taxes Receivable &amp; Deferred Inflow</t>
  </si>
  <si>
    <t xml:space="preserve">Columns Y-AF calculate the Audit Entry to </t>
  </si>
  <si>
    <t xml:space="preserve">record the Account Receivable and Deferred Inflow, which </t>
  </si>
  <si>
    <t>is the difference between the CERTIFIED $ amount LESS</t>
  </si>
  <si>
    <t>the amount collected through a certain date.</t>
  </si>
  <si>
    <t>This Schedule Assumes that January(Paid Feb 10th) through July(Paid Aug 10).  If your district ends includes going through August (Paid Sep 10), You'll to insert a new column between R &amp; S</t>
  </si>
  <si>
    <t>Should be booked to next Fiscal Year</t>
  </si>
  <si>
    <t>AUDIT SECTION</t>
  </si>
  <si>
    <t>Property Tax Receipts</t>
  </si>
  <si>
    <t>Booked in Current Fiscal year</t>
  </si>
  <si>
    <t>General Fund #10</t>
  </si>
  <si>
    <t>FY 2022- Mill Certified December 2021</t>
  </si>
  <si>
    <t>FY 2023- Mill Certified December 2022</t>
  </si>
  <si>
    <t>Time Period that relates to Mill Certification in December of the previous December</t>
  </si>
  <si>
    <t>Time Period that relates to Mill Certification in December of the fiscal year</t>
  </si>
  <si>
    <t>Total</t>
  </si>
  <si>
    <t xml:space="preserve"> % Collected in Current Fiscal Year</t>
  </si>
  <si>
    <t>Input from</t>
  </si>
  <si>
    <t>GL</t>
  </si>
  <si>
    <t>Audit Entry to Book Receivable &amp; Deferred Revenue</t>
  </si>
  <si>
    <t>Paid on Date</t>
  </si>
  <si>
    <t>Concept is to show the EXPECTED Property tax collection remaining to be collected in the Calendar year.</t>
  </si>
  <si>
    <t>Property Tax is Collected January-December &amp; District Fiscal Year is July-June</t>
  </si>
  <si>
    <t>Period</t>
  </si>
  <si>
    <t>July</t>
  </si>
  <si>
    <t>August</t>
  </si>
  <si>
    <t>September</t>
  </si>
  <si>
    <t>October</t>
  </si>
  <si>
    <t>November</t>
  </si>
  <si>
    <t>December</t>
  </si>
  <si>
    <t>January</t>
  </si>
  <si>
    <t>February</t>
  </si>
  <si>
    <t>March 1-20</t>
  </si>
  <si>
    <t>March 21-31</t>
  </si>
  <si>
    <t>April</t>
  </si>
  <si>
    <t>May 1-20</t>
  </si>
  <si>
    <t>May 21-31</t>
  </si>
  <si>
    <t>June 1-20</t>
  </si>
  <si>
    <t>June 21-30</t>
  </si>
  <si>
    <t>Accrual</t>
  </si>
  <si>
    <t>Balance</t>
  </si>
  <si>
    <t>Check Figures</t>
  </si>
  <si>
    <t xml:space="preserve">Balance Sheet ENTRY </t>
  </si>
  <si>
    <t>Cash 10-8101</t>
  </si>
  <si>
    <t>AR 10-8121</t>
  </si>
  <si>
    <t>Revenue Source Code</t>
  </si>
  <si>
    <t>December's Certified Mill $ Total (Cell E51 on Calculation Worksheet tab)</t>
  </si>
  <si>
    <t>Current</t>
  </si>
  <si>
    <t>Property taxed booked to Previous Fiscal Year</t>
  </si>
  <si>
    <t xml:space="preserve">Total General Fund Property tax collected (Columns I-R or Period January-July) </t>
  </si>
  <si>
    <t>Delinquent</t>
  </si>
  <si>
    <t>Item Booked in Current Year</t>
  </si>
  <si>
    <t>Fund Receivable and deferral</t>
  </si>
  <si>
    <t>Interest</t>
  </si>
  <si>
    <t>Audit Accounting Entry to book Taxes Accounts Receivable (8121) and Deferred Inflows (7800)</t>
  </si>
  <si>
    <t>Penalties</t>
  </si>
  <si>
    <t>Debit</t>
  </si>
  <si>
    <t>Credit</t>
  </si>
  <si>
    <t>Specific Ownership taxes</t>
  </si>
  <si>
    <t>Accts Recv</t>
  </si>
  <si>
    <t xml:space="preserve"> 10.000.00.0000.8121.000.0000 </t>
  </si>
  <si>
    <t>Senior exemptions-Once a year)</t>
  </si>
  <si>
    <t>Deferred Inflows</t>
  </si>
  <si>
    <t xml:space="preserve"> 10.000.00.0000.7800.000.0000 </t>
  </si>
  <si>
    <t>CPW-(once a year)</t>
  </si>
  <si>
    <t>Total Additions</t>
  </si>
  <si>
    <t>Supplemental Analysis: Total Collected during Calendar Year vs. Amount Certified in December of that Fiscal Year</t>
  </si>
  <si>
    <t>Concept is check the Remaining Months Aug-Dec collections against Receivable and Expenses</t>
  </si>
  <si>
    <t>Abatement - Current Year</t>
  </si>
  <si>
    <t>Fund Receivable and Deferred Inflows</t>
  </si>
  <si>
    <t>Abatement - Prior Year</t>
  </si>
  <si>
    <t>Actual Collected Aug-Dec from upcoming Fiscal Year</t>
  </si>
  <si>
    <t xml:space="preserve">Abatement Interest - Current Year </t>
  </si>
  <si>
    <t>% Actual to Certification Variance</t>
  </si>
  <si>
    <t>Abatement Interest - Prior Year</t>
  </si>
  <si>
    <t>Delinquent interest - Current Year</t>
  </si>
  <si>
    <t>Delinquent interest - Prior Year</t>
  </si>
  <si>
    <t>TIF (if Applicable)</t>
  </si>
  <si>
    <t>Delinquent TIF</t>
  </si>
  <si>
    <t>EXPENSE Entry (shown as a negative, but is a DEBIT to Expense)</t>
  </si>
  <si>
    <t>Treasurer's fees</t>
  </si>
  <si>
    <t>10-XXX-XX-25XX-0311-0000-0000</t>
  </si>
  <si>
    <t>Total Deductions</t>
  </si>
  <si>
    <t>Total Additions less Deductions</t>
  </si>
  <si>
    <t>Supplemental Analysis Specific Ownership Tracking</t>
  </si>
  <si>
    <t>SOT can variable based on economic conditions.  Tracking will helping budgeting</t>
  </si>
  <si>
    <t>FY22 SOT</t>
  </si>
  <si>
    <t>FY21 SOT</t>
  </si>
  <si>
    <t>FY20 SOT</t>
  </si>
  <si>
    <t>Bond Fund #31</t>
  </si>
  <si>
    <t>Cash 31-8101</t>
  </si>
  <si>
    <t>AR 31-8121</t>
  </si>
  <si>
    <t>December's Certified Mill $ Total (Cell E59 on Calculation Worksheet tab)</t>
  </si>
  <si>
    <t xml:space="preserve"> 31.000.00.0000.8121.000.0000 </t>
  </si>
  <si>
    <t xml:space="preserve"> 31.000.00.0000.7800.000.0000 </t>
  </si>
  <si>
    <t>31-XXX-XX-25XX-0311-0000-0000</t>
  </si>
  <si>
    <t>Transportation Fund #25</t>
  </si>
  <si>
    <t>Cash 25-8101</t>
  </si>
  <si>
    <t>AR 25-8121</t>
  </si>
  <si>
    <t>December's Certified Mill $ Total (Cell E66 on Calculation Worksheet tab)</t>
  </si>
  <si>
    <t xml:space="preserve"> 25.000.00.0000.8121.000.0000 </t>
  </si>
  <si>
    <t xml:space="preserve"> 25.000.00.0000.7800.000.0000 </t>
  </si>
  <si>
    <t>25-XXX-XX-25XX-0311-0000-0000</t>
  </si>
  <si>
    <t>Special Building &amp; Technology Fund  #25</t>
  </si>
  <si>
    <t>Audit Entry to Book Recoverable &amp; Deferred Revenue</t>
  </si>
  <si>
    <t>Cash 42-8101</t>
  </si>
  <si>
    <t>AR 42-8121</t>
  </si>
  <si>
    <t>December's Certified Mill $ Total (Cell E73 on Calculation Worksheet tab)</t>
  </si>
  <si>
    <t xml:space="preserve"> 42.000.00.0000.8121.000.0000 </t>
  </si>
  <si>
    <t xml:space="preserve"> 42.000.00.0000.7800.000.0000 </t>
  </si>
  <si>
    <t>42-XXX-XX-25XX-0311-0000-0000</t>
  </si>
  <si>
    <t>Supplemental CC, Tech, &amp; Main Fund 46 or 06</t>
  </si>
  <si>
    <t>December's Certified Mill $ Total (Cell E81 on Calculation Worksheet tab)</t>
  </si>
  <si>
    <t xml:space="preserve"> 46 or 06.000.00.0000.8121.000.0000 </t>
  </si>
  <si>
    <t xml:space="preserve"> 46 or 06.000.00.0000.7800.000.0000 </t>
  </si>
  <si>
    <t>46 or 06-XXX-XX-25XX-0311-0000-0000</t>
  </si>
  <si>
    <t>GROSS ASSESSED VALUATION</t>
  </si>
  <si>
    <t>TIF</t>
  </si>
  <si>
    <t>NET ASSESSED VALUATION</t>
  </si>
  <si>
    <t xml:space="preserve"> ABATE AMOUNT</t>
  </si>
  <si>
    <t>Mill Levy per HB20-1418</t>
  </si>
  <si>
    <t>Remaining Tax Credit</t>
  </si>
  <si>
    <t>GENERAL FUND MILL</t>
  </si>
  <si>
    <t>CATEGORICAL</t>
  </si>
  <si>
    <t>Total Prog Reserve</t>
  </si>
  <si>
    <t>HOLD HARMLESS OVERRIDE</t>
  </si>
  <si>
    <t>EXCESS OVERRIDE</t>
  </si>
  <si>
    <t>VOTER APPROVED OVERRIDE</t>
  </si>
  <si>
    <t>ABATEMENT mill</t>
  </si>
  <si>
    <t>TOTAL MILLS</t>
  </si>
  <si>
    <t>BOND</t>
  </si>
  <si>
    <t>TRANSP</t>
  </si>
  <si>
    <t>SPEC BLDG</t>
  </si>
  <si>
    <t>Supplm. Cap Constr, Tech, Def Maint</t>
  </si>
  <si>
    <t>Other</t>
  </si>
  <si>
    <t>Total Mills</t>
  </si>
  <si>
    <t>FULL TOTAL PROGRAM MILL</t>
  </si>
  <si>
    <t>TOTAL PRG</t>
  </si>
  <si>
    <t>STATE SHARE FUND</t>
  </si>
  <si>
    <t>Aug 22 v FY22</t>
  </si>
  <si>
    <t>Suppl. Cap Constr, Tech, Def Maint</t>
  </si>
  <si>
    <t>FULL TOTAL PROGRAM MILL (ML2)</t>
  </si>
  <si>
    <t>TOTAL PRG (GT1)</t>
  </si>
  <si>
    <t>STATE SHARE FUND (GT4)</t>
  </si>
  <si>
    <t>Aug Mill levy Projections</t>
  </si>
  <si>
    <t>Per smartsheet</t>
  </si>
  <si>
    <t>LINK FOR DATA SUBMISSION</t>
  </si>
  <si>
    <t xml:space="preserve">Rows 31-35, The HB20-1418 Gross Assessed Valuation, TIF, &amp; Net Assessed Value will be the same in the Aug 25, 2024 &amp; Dec 15, 2024 Column. </t>
  </si>
  <si>
    <t>Form Completed By:</t>
  </si>
  <si>
    <t>District Code:</t>
  </si>
  <si>
    <t xml:space="preserve">Rows 72 &amp; 74, The Estimated Full Funding Mill levy Projected Gross Funding from State will be the same in the Aug 25, 2024 &amp; Dec 15, 2024 Column. </t>
  </si>
  <si>
    <t>15. Projected Gross Funding from State</t>
  </si>
  <si>
    <t>* This is calculated by  taking Total Program, then dividing by the net assessed valuation.</t>
  </si>
  <si>
    <t>Fixed for FY25-Both Aug &amp; Dec, Based off Aug 25's NAV</t>
  </si>
  <si>
    <t>Property Tax Year 2024, to be Collected in 2025</t>
  </si>
  <si>
    <t xml:space="preserve">Input Column E into the SmartSheet (link in Row 81) </t>
  </si>
  <si>
    <r>
      <t xml:space="preserve">The information in Column E is the data used to upload through Smartsheet to  CDE, using the link in </t>
    </r>
    <r>
      <rPr>
        <b/>
        <i/>
        <sz val="18"/>
        <color rgb="FF000000"/>
        <rFont val="Times New Roman"/>
        <family val="1"/>
      </rPr>
      <t>cell A81</t>
    </r>
    <r>
      <rPr>
        <i/>
        <sz val="18"/>
        <color rgb="FF000000"/>
        <rFont val="Times New Roman"/>
        <family val="1"/>
      </rPr>
      <t>.</t>
    </r>
  </si>
  <si>
    <t>Color Code:</t>
  </si>
  <si>
    <t>Phone Number:</t>
  </si>
  <si>
    <t>December 16, 2024</t>
  </si>
  <si>
    <t>Fixed for FY25-Both Aug &amp; Dec</t>
  </si>
  <si>
    <t xml:space="preserve"> Submit Data to CDE via State Equal no later than December 16, 2024</t>
  </si>
  <si>
    <t>Per Final Mill levy table</t>
  </si>
  <si>
    <t>Y</t>
  </si>
  <si>
    <t>Liberty J-4</t>
  </si>
  <si>
    <t>Idalia RJ-3</t>
  </si>
  <si>
    <t>Wray RD-2</t>
  </si>
  <si>
    <t>Yuma 1</t>
  </si>
  <si>
    <t>Pawnee RE-12</t>
  </si>
  <si>
    <t>Prairie RE-11</t>
  </si>
  <si>
    <t>Briggsdale RE-10</t>
  </si>
  <si>
    <t>Ault-Highland RE-9</t>
  </si>
  <si>
    <t>Weld Re-8 Schools</t>
  </si>
  <si>
    <t>Platte Valley RE-7</t>
  </si>
  <si>
    <t>Greeley 6</t>
  </si>
  <si>
    <t>Johnstown-Milliken RE-5J</t>
  </si>
  <si>
    <t>Weld RE-4</t>
  </si>
  <si>
    <t>Weld County School District RE-3J</t>
  </si>
  <si>
    <t>Eaton RE-2</t>
  </si>
  <si>
    <t>Weld County RE-1</t>
  </si>
  <si>
    <t>Woodlin R-104</t>
  </si>
  <si>
    <t>Lone Star 101</t>
  </si>
  <si>
    <t>Otis R-3</t>
  </si>
  <si>
    <t>Arickaree R-2</t>
  </si>
  <si>
    <t>Akron R-1</t>
  </si>
  <si>
    <t>Woodland Park Re-2</t>
  </si>
  <si>
    <t>Cripple Creek-Victor RE-1</t>
  </si>
  <si>
    <t>Summit RE-1</t>
  </si>
  <si>
    <t>Revere School District</t>
  </si>
  <si>
    <t>Julesburg Re-1</t>
  </si>
  <si>
    <t>Norwood R-2J</t>
  </si>
  <si>
    <t>Telluride R-1</t>
  </si>
  <si>
    <t>Silverton 1</t>
  </si>
  <si>
    <t>Center 26 JT</t>
  </si>
  <si>
    <t>Moffat 2</t>
  </si>
  <si>
    <t>Mountain Valley RE 1</t>
  </si>
  <si>
    <t>South Routt RE 3</t>
  </si>
  <si>
    <t>Steamboat Springs RE-2</t>
  </si>
  <si>
    <t>Hayden RE-1</t>
  </si>
  <si>
    <t>Sargent RE-33J</t>
  </si>
  <si>
    <t>Monte Vista C-8</t>
  </si>
  <si>
    <t>Upper Rio Grande School District C-7</t>
  </si>
  <si>
    <t>Rangely RE-4</t>
  </si>
  <si>
    <t>Meeker RE-1</t>
  </si>
  <si>
    <t>Pueblo County 70</t>
  </si>
  <si>
    <t>Pueblo City 60</t>
  </si>
  <si>
    <t>Wiley RE-13 Jt</t>
  </si>
  <si>
    <t>Holly RE-3</t>
  </si>
  <si>
    <t>Lamar Re-2</t>
  </si>
  <si>
    <t>Granada RE-1</t>
  </si>
  <si>
    <t>Aspen 1</t>
  </si>
  <si>
    <t>Haxtun RE-2J</t>
  </si>
  <si>
    <t>Holyoke Re-1J</t>
  </si>
  <si>
    <t>Park County RE-2</t>
  </si>
  <si>
    <t>Platte Canyon 1</t>
  </si>
  <si>
    <t>Ridgway R-2</t>
  </si>
  <si>
    <t>Ouray R-1</t>
  </si>
  <si>
    <t>Swink 33</t>
  </si>
  <si>
    <t>Cheraw 31</t>
  </si>
  <si>
    <t>Fowler R-4J</t>
  </si>
  <si>
    <t>Manzanola 3J</t>
  </si>
  <si>
    <t>Rocky Ford R-2</t>
  </si>
  <si>
    <t>East Otero R-1</t>
  </si>
  <si>
    <t>Wiggins RE-50(J)</t>
  </si>
  <si>
    <t>Weldon Valley RE-20(J)</t>
  </si>
  <si>
    <t>Fort Morgan Re-3</t>
  </si>
  <si>
    <t>Brush RE-2(J)</t>
  </si>
  <si>
    <t>West End RE-2</t>
  </si>
  <si>
    <t>Montrose County RE-1J</t>
  </si>
  <si>
    <t>Mancos Re-6</t>
  </si>
  <si>
    <t>Dolores RE-4A</t>
  </si>
  <si>
    <t>Montezuma-Cortez RE-1</t>
  </si>
  <si>
    <t>Moffat County RE: No 1</t>
  </si>
  <si>
    <t>Creede School District</t>
  </si>
  <si>
    <t>Mesa County Valley 51</t>
  </si>
  <si>
    <t>Plateau Valley 50</t>
  </si>
  <si>
    <t>De Beque 49JT</t>
  </si>
  <si>
    <t>Plateau RE-5</t>
  </si>
  <si>
    <t>Buffalo RE-4J</t>
  </si>
  <si>
    <t>Frenchman RE-3</t>
  </si>
  <si>
    <t>Valley RE-1</t>
  </si>
  <si>
    <t>Karval RE-23</t>
  </si>
  <si>
    <t>Limon RE-4J</t>
  </si>
  <si>
    <t>Genoa-Hugo C113</t>
  </si>
  <si>
    <t>Kim Reorganized 88</t>
  </si>
  <si>
    <t>Branson Reorganized 82</t>
  </si>
  <si>
    <t>Aguilar Reorganized 6</t>
  </si>
  <si>
    <t>Hoehne Reorganized 3</t>
  </si>
  <si>
    <t>Primero Reorganized 2</t>
  </si>
  <si>
    <t>Trinidad 1</t>
  </si>
  <si>
    <t>Estes Park R-3</t>
  </si>
  <si>
    <t>Thompson R2-J</t>
  </si>
  <si>
    <t>Poudre R-1</t>
  </si>
  <si>
    <t>Ignacio 11 JT</t>
  </si>
  <si>
    <t>Bayfield 10 Jt-R</t>
  </si>
  <si>
    <t>Durango 9-R</t>
  </si>
  <si>
    <t>Lake County R-1</t>
  </si>
  <si>
    <t>Burlington RE-6J</t>
  </si>
  <si>
    <t>Bethune R-5</t>
  </si>
  <si>
    <t>Stratton R-4</t>
  </si>
  <si>
    <t>Hi-Plains R-23</t>
  </si>
  <si>
    <t>Arriba-Flagler C-20</t>
  </si>
  <si>
    <t>Plainview RE-2</t>
  </si>
  <si>
    <t>Eads RE-1</t>
  </si>
  <si>
    <t>Jefferson County R-1</t>
  </si>
  <si>
    <t>North Park R-1</t>
  </si>
  <si>
    <t>La Veta Re-2</t>
  </si>
  <si>
    <t>Huerfano Re-1</t>
  </si>
  <si>
    <t>Hinsdale County RE 1</t>
  </si>
  <si>
    <t>Gunnison Watershed RE1J</t>
  </si>
  <si>
    <t>East Grand 2</t>
  </si>
  <si>
    <t>West Grand 1-JT</t>
  </si>
  <si>
    <t>Gilpin County RE-1</t>
  </si>
  <si>
    <t>Garfield 16</t>
  </si>
  <si>
    <t>Garfield Re-2</t>
  </si>
  <si>
    <t>Roaring Fork RE-1</t>
  </si>
  <si>
    <t>Cotopaxi RE-3</t>
  </si>
  <si>
    <t>Fremont RE-2</t>
  </si>
  <si>
    <t>Canon City RE-1</t>
  </si>
  <si>
    <t>Miami/Yoder 60 JT</t>
  </si>
  <si>
    <t>Edison 54 JT</t>
  </si>
  <si>
    <t>District 49</t>
  </si>
  <si>
    <t>Lewis-Palmer 38</t>
  </si>
  <si>
    <t>Hanover 28</t>
  </si>
  <si>
    <t>Peyton 23 Jt</t>
  </si>
  <si>
    <t>Ellicott 22</t>
  </si>
  <si>
    <t>Academy 20</t>
  </si>
  <si>
    <t>Manitou Springs 14</t>
  </si>
  <si>
    <t>Cheyenne Mountain 12</t>
  </si>
  <si>
    <t>Colorado Springs 11</t>
  </si>
  <si>
    <t>Fountain 8</t>
  </si>
  <si>
    <t>Widefield 3</t>
  </si>
  <si>
    <t>Harrison 2</t>
  </si>
  <si>
    <t>Calhan RJ-1</t>
  </si>
  <si>
    <t>Agate 300</t>
  </si>
  <si>
    <t>Elbert 200</t>
  </si>
  <si>
    <t>Big Sandy 100J</t>
  </si>
  <si>
    <t>Kiowa C-2</t>
  </si>
  <si>
    <t>Elizabeth School District</t>
  </si>
  <si>
    <t>Eagle County RE 50</t>
  </si>
  <si>
    <t>Douglas County Re 1</t>
  </si>
  <si>
    <t>Dolores County RE No.2</t>
  </si>
  <si>
    <t>Denver County 1</t>
  </si>
  <si>
    <t>Delta County 50(J)</t>
  </si>
  <si>
    <t>Custer County School District C-1</t>
  </si>
  <si>
    <t>Crowley County RE-1-J</t>
  </si>
  <si>
    <t>Sierra Grande R-30</t>
  </si>
  <si>
    <t>Centennial R-1</t>
  </si>
  <si>
    <t>South Conejos RE-10</t>
  </si>
  <si>
    <t>Sanford 6J</t>
  </si>
  <si>
    <t>North Conejos RE-1J</t>
  </si>
  <si>
    <t>Clear Creek RE-1</t>
  </si>
  <si>
    <t>Cheyenne County Re-5</t>
  </si>
  <si>
    <t>Kit Carson R-1</t>
  </si>
  <si>
    <t>Salida R-32</t>
  </si>
  <si>
    <t>Buena Vista R-31</t>
  </si>
  <si>
    <t>Boulder Valley Re 2</t>
  </si>
  <si>
    <t>St Vrain Valley RE1J</t>
  </si>
  <si>
    <t>McClave Re-2</t>
  </si>
  <si>
    <t>Las Animas RE-1</t>
  </si>
  <si>
    <t>Campo RE-6</t>
  </si>
  <si>
    <t>Vilas RE-5</t>
  </si>
  <si>
    <t>Springfield RE-4</t>
  </si>
  <si>
    <t>Pritchett RE-3</t>
  </si>
  <si>
    <t>Walsh RE-1</t>
  </si>
  <si>
    <t>Archuleta County 50 Jt</t>
  </si>
  <si>
    <t>Byers 32J</t>
  </si>
  <si>
    <t>Adams-Arapahoe 28J</t>
  </si>
  <si>
    <t>Deer Trail 26J</t>
  </si>
  <si>
    <t>Littleton 6</t>
  </si>
  <si>
    <t>Cherry Creek 5</t>
  </si>
  <si>
    <t>Sheridan 2</t>
  </si>
  <si>
    <t>Englewood 1</t>
  </si>
  <si>
    <t>Sangre De Cristo Re-22J</t>
  </si>
  <si>
    <t>Alamosa RE-11J</t>
  </si>
  <si>
    <t>Westminster Public Schools</t>
  </si>
  <si>
    <t>Strasburg 31J</t>
  </si>
  <si>
    <t>Bennett 29J</t>
  </si>
  <si>
    <t>School District 27J</t>
  </si>
  <si>
    <t>Adams County 14</t>
  </si>
  <si>
    <t>Adams 12 Five Star Schools</t>
  </si>
  <si>
    <t>Mapleton 1</t>
  </si>
  <si>
    <t>Finalized</t>
  </si>
  <si>
    <t>Total Mills_1</t>
  </si>
  <si>
    <t>ABATE AMOUNT</t>
  </si>
  <si>
    <t xml:space="preserve">The Current year information is manually INPUT by District in Column E.  The Prior Year and August values are PULLED from other tabs &amp; locked from editing. WORKSHEET Section (Columns H-L) is not locked. </t>
  </si>
  <si>
    <t>Calculation Cells (locked)</t>
  </si>
  <si>
    <t>Depicts districts projected to be totally locally funded</t>
  </si>
  <si>
    <t>Requires reduction of General Fund Mill levy for Categorical and Program reserve Mills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</si>
</sst>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_);\(#,##0.000\)"/>
    <numFmt numFmtId="167" formatCode="#,##0.0000_);\(#,##0.0000\)"/>
    <numFmt numFmtId="168" formatCode="#,##0.000_);[Red]\(#,##0.000\)"/>
    <numFmt numFmtId="169" formatCode="0.0000"/>
    <numFmt numFmtId="170" formatCode="0.000"/>
    <numFmt numFmtId="171" formatCode="#,##0.0"/>
    <numFmt numFmtId="172" formatCode="#,##0.000"/>
    <numFmt numFmtId="173" formatCode="0.000%"/>
    <numFmt numFmtId="174" formatCode="mmm\ d"/>
    <numFmt numFmtId="175" formatCode="mmmm\ d"/>
    <numFmt numFmtId="176" formatCode="[$-409]mmmm\ d\,\ yyyy;@"/>
    <numFmt numFmtId="177" formatCode="&quot;$&quot;#,##0"/>
    <numFmt numFmtId="178" formatCode="#,##0.0000_);[Red]\(#,##0.0000\)"/>
    <numFmt numFmtId="179" formatCode="_(* #,##0.000_);_(* \(#,##0.000\);_(* &quot;-&quot;???_);_(@_)"/>
    <numFmt numFmtId="180" formatCode="[&lt;=9999999]###\-####;\(###\)\ ###\-####"/>
    <numFmt numFmtId="181" formatCode="0000"/>
    <numFmt numFmtId="182" formatCode="#,##0.00;\-#,##0.00"/>
    <numFmt numFmtId="183" formatCode="###0.00;\-###0.00"/>
    <numFmt numFmtId="184" formatCode="#,##0;\-#,##0"/>
  </numFmts>
  <fonts count="54" x14ac:knownFonts="1">
    <font>
      <sz val="10"/>
      <color rgb="FF000000"/>
      <name val="Courier"/>
      <scheme val="minor"/>
    </font>
    <font>
      <sz val="11"/>
      <color theme="1"/>
      <name val="Courier"/>
      <family val="2"/>
      <scheme val="minor"/>
    </font>
    <font>
      <sz val="11"/>
      <color theme="1"/>
      <name val="Courier"/>
      <family val="2"/>
      <scheme val="minor"/>
    </font>
    <font>
      <sz val="11"/>
      <color theme="1"/>
      <name val="Courier"/>
      <family val="2"/>
      <scheme val="minor"/>
    </font>
    <font>
      <sz val="11"/>
      <color theme="1"/>
      <name val="Courier"/>
      <family val="2"/>
      <scheme val="minor"/>
    </font>
    <font>
      <sz val="11"/>
      <color theme="1"/>
      <name val="Courier"/>
      <family val="2"/>
      <scheme val="minor"/>
    </font>
    <font>
      <b/>
      <sz val="12"/>
      <color theme="1"/>
      <name val="Times New Roman"/>
      <family val="1"/>
    </font>
    <font>
      <sz val="12"/>
      <color theme="1"/>
      <name val="Times New Roman"/>
      <family val="1"/>
    </font>
    <font>
      <b/>
      <sz val="11"/>
      <color theme="1"/>
      <name val="Courier"/>
      <family val="2"/>
      <scheme val="minor"/>
    </font>
    <font>
      <b/>
      <u/>
      <sz val="11"/>
      <color theme="1"/>
      <name val="Arial"/>
      <family val="2"/>
    </font>
    <font>
      <sz val="11"/>
      <color theme="1"/>
      <name val="Arial"/>
      <family val="2"/>
    </font>
    <font>
      <sz val="11"/>
      <color theme="1"/>
      <name val="Arial Black"/>
      <family val="2"/>
    </font>
    <font>
      <b/>
      <sz val="10"/>
      <color theme="1"/>
      <name val="Arial"/>
      <family val="2"/>
    </font>
    <font>
      <b/>
      <sz val="11"/>
      <color theme="1"/>
      <name val="Arial"/>
      <family val="2"/>
    </font>
    <font>
      <i/>
      <sz val="11"/>
      <color theme="1"/>
      <name val="Arial"/>
      <family val="2"/>
    </font>
    <font>
      <u/>
      <sz val="11"/>
      <color theme="10"/>
      <name val="Courier"/>
      <family val="2"/>
      <scheme val="minor"/>
    </font>
    <font>
      <b/>
      <sz val="10"/>
      <name val="Arial"/>
      <family val="2"/>
    </font>
    <font>
      <sz val="10"/>
      <name val="Arial"/>
      <family val="2"/>
    </font>
    <font>
      <sz val="10"/>
      <color rgb="FF000000"/>
      <name val="Arial"/>
      <family val="2"/>
    </font>
    <font>
      <sz val="10"/>
      <color rgb="FF0000FF"/>
      <name val="Arial"/>
      <family val="2"/>
    </font>
    <font>
      <b/>
      <sz val="9"/>
      <color rgb="FF000000"/>
      <name val="Tahoma"/>
      <family val="2"/>
    </font>
    <font>
      <b/>
      <i/>
      <sz val="12"/>
      <color theme="1"/>
      <name val="Times New Roman"/>
      <family val="1"/>
    </font>
    <font>
      <sz val="12"/>
      <color rgb="FFFF0000"/>
      <name val="Times New Roman"/>
      <family val="1"/>
    </font>
    <font>
      <sz val="11"/>
      <color rgb="FFFF0000"/>
      <name val="Arial"/>
      <family val="2"/>
    </font>
    <font>
      <sz val="11"/>
      <color theme="1"/>
      <name val="Courier"/>
      <scheme val="minor"/>
    </font>
    <font>
      <b/>
      <sz val="12"/>
      <color theme="1"/>
      <name val="Arial"/>
      <family val="2"/>
    </font>
    <font>
      <sz val="12"/>
      <color theme="1"/>
      <name val="Arial"/>
      <family val="2"/>
    </font>
    <font>
      <b/>
      <i/>
      <sz val="12"/>
      <color theme="1"/>
      <name val="Arial"/>
      <family val="2"/>
    </font>
    <font>
      <sz val="12"/>
      <color rgb="FFFFFFFF"/>
      <name val="Arial"/>
      <family val="2"/>
    </font>
    <font>
      <sz val="12"/>
      <color rgb="FFFF0000"/>
      <name val="Arial"/>
      <family val="2"/>
    </font>
    <font>
      <sz val="12"/>
      <color theme="0"/>
      <name val="Arial"/>
      <family val="2"/>
    </font>
    <font>
      <sz val="14"/>
      <color theme="1"/>
      <name val="Times New Roman"/>
      <family val="1"/>
    </font>
    <font>
      <sz val="18"/>
      <color rgb="FF000000"/>
      <name val="Times New Roman"/>
      <family val="1"/>
    </font>
    <font>
      <b/>
      <sz val="18"/>
      <color rgb="FF000000"/>
      <name val="Times New Roman"/>
      <family val="1"/>
    </font>
    <font>
      <sz val="11"/>
      <name val="Arial"/>
      <family val="2"/>
    </font>
    <font>
      <b/>
      <sz val="11"/>
      <color rgb="FFFF0000"/>
      <name val="Courier"/>
      <family val="2"/>
      <scheme val="minor"/>
    </font>
    <font>
      <b/>
      <sz val="18"/>
      <color theme="1"/>
      <name val="Times New Roman"/>
      <family val="1"/>
    </font>
    <font>
      <sz val="10"/>
      <name val="Arial"/>
      <family val="2"/>
    </font>
    <font>
      <b/>
      <sz val="11"/>
      <name val="Arial"/>
      <family val="2"/>
    </font>
    <font>
      <b/>
      <sz val="9"/>
      <name val="Arial"/>
      <family val="2"/>
    </font>
    <font>
      <u/>
      <sz val="10"/>
      <color theme="10"/>
      <name val="Courier"/>
      <scheme val="minor"/>
    </font>
    <font>
      <i/>
      <sz val="18"/>
      <color rgb="FF000000"/>
      <name val="Times New Roman"/>
      <family val="1"/>
    </font>
    <font>
      <b/>
      <sz val="18"/>
      <color rgb="FF7030A0"/>
      <name val="Times New Roman"/>
      <family val="1"/>
    </font>
    <font>
      <sz val="12"/>
      <color rgb="FF000000"/>
      <name val="Times New Roman"/>
      <family val="1"/>
    </font>
    <font>
      <sz val="8"/>
      <name val="Courier"/>
      <scheme val="minor"/>
    </font>
    <font>
      <sz val="11"/>
      <color rgb="FF0070C0"/>
      <name val="Arial"/>
      <family val="2"/>
    </font>
    <font>
      <sz val="14"/>
      <color theme="1"/>
      <name val="Arial"/>
      <family val="2"/>
    </font>
    <font>
      <sz val="10"/>
      <color rgb="FF000000"/>
      <name val="Courier"/>
      <scheme val="minor"/>
    </font>
    <font>
      <u/>
      <sz val="22"/>
      <color theme="10"/>
      <name val="Arial"/>
      <family val="2"/>
    </font>
    <font>
      <b/>
      <sz val="14"/>
      <color theme="1"/>
      <name val="Arial"/>
      <family val="2"/>
    </font>
    <font>
      <b/>
      <i/>
      <sz val="18"/>
      <color rgb="FF000000"/>
      <name val="Times New Roman"/>
      <family val="1"/>
    </font>
    <font>
      <b/>
      <sz val="22"/>
      <color rgb="FF000000"/>
      <name val="Times New Roman"/>
      <family val="1"/>
    </font>
    <font>
      <b/>
      <sz val="11"/>
      <color rgb="FF000000"/>
      <name val="Calibri"/>
      <family val="2"/>
    </font>
    <font>
      <b/>
      <sz val="10"/>
      <color rgb="FF000000"/>
      <name val="Arial"/>
      <family val="2"/>
    </font>
  </fonts>
  <fills count="33">
    <fill>
      <patternFill patternType="none"/>
    </fill>
    <fill>
      <patternFill patternType="gray125"/>
    </fill>
    <fill>
      <patternFill patternType="solid">
        <fgColor rgb="FFFFFF00"/>
        <bgColor rgb="FFFFFF00"/>
      </patternFill>
    </fill>
    <fill>
      <patternFill patternType="solid">
        <fgColor rgb="FFFFFF00"/>
        <bgColor indexed="64"/>
      </patternFill>
    </fill>
    <fill>
      <patternFill patternType="solid">
        <fgColor rgb="FFEBF1DE"/>
        <bgColor rgb="FF000000"/>
      </patternFill>
    </fill>
    <fill>
      <patternFill patternType="solid">
        <fgColor rgb="FFFFFFCC"/>
        <bgColor rgb="FF000000"/>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0000"/>
        <bgColor rgb="FFFF0000"/>
      </patternFill>
    </fill>
    <fill>
      <patternFill patternType="solid">
        <fgColor rgb="FF1C4587"/>
        <bgColor rgb="FF1C4587"/>
      </patternFill>
    </fill>
    <fill>
      <patternFill patternType="solid">
        <fgColor rgb="FF38761D"/>
        <bgColor rgb="FF38761D"/>
      </patternFill>
    </fill>
    <fill>
      <patternFill patternType="solid">
        <fgColor rgb="FFC9DAF8"/>
        <bgColor rgb="FFC9DAF8"/>
      </patternFill>
    </fill>
    <fill>
      <patternFill patternType="solid">
        <fgColor rgb="FFCCCCCC"/>
        <bgColor rgb="FFCCCCCC"/>
      </patternFill>
    </fill>
    <fill>
      <patternFill patternType="solid">
        <fgColor rgb="FFFFF2CC"/>
        <bgColor rgb="FFFFF2CC"/>
      </patternFill>
    </fill>
    <fill>
      <patternFill patternType="solid">
        <fgColor rgb="FFFFD966"/>
        <bgColor rgb="FFFFD966"/>
      </patternFill>
    </fill>
    <fill>
      <patternFill patternType="solid">
        <fgColor rgb="FFCFE2F3"/>
        <bgColor rgb="FFCFE2F3"/>
      </patternFill>
    </fill>
    <fill>
      <patternFill patternType="solid">
        <fgColor rgb="FF00FFFF"/>
        <bgColor rgb="FF00FFFF"/>
      </patternFill>
    </fill>
    <fill>
      <patternFill patternType="solid">
        <fgColor theme="0"/>
        <bgColor theme="0"/>
      </patternFill>
    </fill>
    <fill>
      <patternFill patternType="solid">
        <fgColor rgb="FFE6B8AF"/>
        <bgColor rgb="FFE6B8AF"/>
      </patternFill>
    </fill>
    <fill>
      <patternFill patternType="solid">
        <fgColor rgb="FFFCE5CD"/>
        <bgColor rgb="FFFCE5CD"/>
      </patternFill>
    </fill>
    <fill>
      <patternFill patternType="solid">
        <fgColor theme="6" tint="0.59999389629810485"/>
        <bgColor rgb="FFB7B7B7"/>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39997558519241921"/>
        <bgColor indexed="64"/>
      </patternFill>
    </fill>
  </fills>
  <borders count="20">
    <border>
      <left/>
      <right/>
      <top/>
      <bottom/>
      <diagonal/>
    </border>
    <border>
      <left/>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6">
    <xf numFmtId="37" fontId="0"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15" fillId="0" borderId="0" applyNumberFormat="0" applyFill="0" applyBorder="0" applyAlignment="0" applyProtection="0"/>
    <xf numFmtId="0" fontId="4" fillId="0" borderId="0"/>
    <xf numFmtId="0" fontId="37" fillId="0" borderId="0"/>
    <xf numFmtId="37" fontId="40" fillId="0" borderId="0" applyNumberFormat="0" applyFill="0" applyBorder="0" applyAlignment="0" applyProtection="0"/>
    <xf numFmtId="0" fontId="17" fillId="0" borderId="0"/>
    <xf numFmtId="43" fontId="17"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47" fillId="0" borderId="0" applyFont="0" applyFill="0" applyBorder="0" applyAlignment="0" applyProtection="0"/>
    <xf numFmtId="0" fontId="1" fillId="0" borderId="0"/>
    <xf numFmtId="43" fontId="1" fillId="0" borderId="0" applyFont="0" applyFill="0" applyBorder="0" applyAlignment="0" applyProtection="0"/>
  </cellStyleXfs>
  <cellXfs count="365">
    <xf numFmtId="37" fontId="0" fillId="0" borderId="0" xfId="0"/>
    <xf numFmtId="0" fontId="10" fillId="0" borderId="0" xfId="1" applyFont="1" applyAlignment="1">
      <alignment horizontal="center"/>
    </xf>
    <xf numFmtId="0" fontId="5" fillId="0" borderId="0" xfId="1"/>
    <xf numFmtId="0" fontId="10" fillId="0" borderId="0" xfId="1" applyFont="1"/>
    <xf numFmtId="0" fontId="5" fillId="0" borderId="0" xfId="1" applyAlignment="1">
      <alignment horizontal="center"/>
    </xf>
    <xf numFmtId="0" fontId="13" fillId="0" borderId="0" xfId="1" applyFont="1"/>
    <xf numFmtId="0" fontId="9" fillId="0" borderId="0" xfId="1" applyFont="1"/>
    <xf numFmtId="0" fontId="14" fillId="0" borderId="0" xfId="1" applyFont="1"/>
    <xf numFmtId="0" fontId="25" fillId="0" borderId="0" xfId="5" applyFont="1"/>
    <xf numFmtId="0" fontId="26" fillId="0" borderId="0" xfId="5" applyFont="1"/>
    <xf numFmtId="43" fontId="27" fillId="0" borderId="0" xfId="5" applyNumberFormat="1" applyFont="1" applyAlignment="1">
      <alignment horizontal="left"/>
    </xf>
    <xf numFmtId="43" fontId="27" fillId="0" borderId="0" xfId="5" applyNumberFormat="1" applyFont="1"/>
    <xf numFmtId="43" fontId="27" fillId="0" borderId="0" xfId="5" applyNumberFormat="1" applyFont="1" applyAlignment="1">
      <alignment horizontal="right"/>
    </xf>
    <xf numFmtId="43" fontId="27" fillId="0" borderId="0" xfId="5" applyNumberFormat="1" applyFont="1" applyAlignment="1">
      <alignment horizontal="center"/>
    </xf>
    <xf numFmtId="43" fontId="28" fillId="12" borderId="0" xfId="5" applyNumberFormat="1" applyFont="1" applyFill="1" applyAlignment="1">
      <alignment horizontal="center" wrapText="1"/>
    </xf>
    <xf numFmtId="43" fontId="26" fillId="0" borderId="0" xfId="5" applyNumberFormat="1" applyFont="1"/>
    <xf numFmtId="4" fontId="26" fillId="0" borderId="0" xfId="5" applyNumberFormat="1" applyFont="1"/>
    <xf numFmtId="0" fontId="24" fillId="0" borderId="0" xfId="5" applyFont="1"/>
    <xf numFmtId="43" fontId="28" fillId="14" borderId="0" xfId="5" applyNumberFormat="1" applyFont="1" applyFill="1" applyAlignment="1">
      <alignment horizontal="center" wrapText="1"/>
    </xf>
    <xf numFmtId="43" fontId="26" fillId="0" borderId="0" xfId="5" applyNumberFormat="1" applyFont="1" applyAlignment="1">
      <alignment horizontal="center"/>
    </xf>
    <xf numFmtId="43" fontId="26" fillId="0" borderId="0" xfId="5" applyNumberFormat="1" applyFont="1" applyAlignment="1">
      <alignment horizontal="center" wrapText="1"/>
    </xf>
    <xf numFmtId="9" fontId="26" fillId="0" borderId="0" xfId="5" applyNumberFormat="1" applyFont="1"/>
    <xf numFmtId="165" fontId="26" fillId="0" borderId="0" xfId="5" applyNumberFormat="1" applyFont="1"/>
    <xf numFmtId="165" fontId="26" fillId="0" borderId="0" xfId="5" applyNumberFormat="1" applyFont="1" applyAlignment="1">
      <alignment horizontal="center"/>
    </xf>
    <xf numFmtId="43" fontId="26" fillId="2" borderId="0" xfId="5" applyNumberFormat="1" applyFont="1" applyFill="1"/>
    <xf numFmtId="0" fontId="25" fillId="15" borderId="0" xfId="5" applyFont="1" applyFill="1"/>
    <xf numFmtId="0" fontId="26" fillId="15" borderId="0" xfId="5" applyFont="1" applyFill="1"/>
    <xf numFmtId="0" fontId="25" fillId="0" borderId="0" xfId="5" applyFont="1" applyAlignment="1">
      <alignment horizontal="center"/>
    </xf>
    <xf numFmtId="0" fontId="25" fillId="16" borderId="0" xfId="5" applyFont="1" applyFill="1"/>
    <xf numFmtId="0" fontId="26" fillId="16" borderId="0" xfId="5" applyFont="1" applyFill="1"/>
    <xf numFmtId="43" fontId="25" fillId="0" borderId="0" xfId="5" applyNumberFormat="1" applyFont="1" applyAlignment="1">
      <alignment horizontal="center" vertical="center"/>
    </xf>
    <xf numFmtId="43" fontId="25" fillId="0" borderId="0" xfId="5" applyNumberFormat="1" applyFont="1" applyAlignment="1">
      <alignment horizontal="center" vertical="center" wrapText="1"/>
    </xf>
    <xf numFmtId="9" fontId="25" fillId="0" borderId="0" xfId="5" applyNumberFormat="1" applyFont="1" applyAlignment="1">
      <alignment horizontal="center" vertical="center"/>
    </xf>
    <xf numFmtId="43" fontId="25" fillId="16" borderId="0" xfId="5" applyNumberFormat="1" applyFont="1" applyFill="1" applyAlignment="1">
      <alignment horizontal="center" vertical="center" wrapText="1"/>
    </xf>
    <xf numFmtId="165" fontId="25" fillId="16" borderId="0" xfId="5" applyNumberFormat="1" applyFont="1" applyFill="1" applyAlignment="1">
      <alignment horizontal="center" vertical="center"/>
    </xf>
    <xf numFmtId="165" fontId="25" fillId="0" borderId="0" xfId="5" applyNumberFormat="1" applyFont="1" applyAlignment="1">
      <alignment horizontal="center" vertical="center"/>
    </xf>
    <xf numFmtId="43" fontId="26" fillId="2" borderId="0" xfId="5" applyNumberFormat="1" applyFont="1" applyFill="1" applyAlignment="1">
      <alignment horizontal="center"/>
    </xf>
    <xf numFmtId="43" fontId="26" fillId="16" borderId="0" xfId="5" applyNumberFormat="1" applyFont="1" applyFill="1"/>
    <xf numFmtId="43" fontId="26" fillId="16" borderId="0" xfId="5" applyNumberFormat="1" applyFont="1" applyFill="1" applyAlignment="1">
      <alignment horizontal="center"/>
    </xf>
    <xf numFmtId="0" fontId="26" fillId="0" borderId="0" xfId="5" applyFont="1" applyAlignment="1">
      <alignment horizontal="center"/>
    </xf>
    <xf numFmtId="174" fontId="26" fillId="15" borderId="0" xfId="5" applyNumberFormat="1" applyFont="1" applyFill="1" applyAlignment="1">
      <alignment horizontal="center"/>
    </xf>
    <xf numFmtId="174" fontId="26" fillId="16" borderId="0" xfId="5" applyNumberFormat="1" applyFont="1" applyFill="1" applyAlignment="1">
      <alignment horizontal="center"/>
    </xf>
    <xf numFmtId="175" fontId="26" fillId="16" borderId="0" xfId="5" applyNumberFormat="1" applyFont="1" applyFill="1" applyAlignment="1">
      <alignment horizontal="center"/>
    </xf>
    <xf numFmtId="43" fontId="26" fillId="15" borderId="0" xfId="5" applyNumberFormat="1" applyFont="1" applyFill="1" applyAlignment="1">
      <alignment horizontal="center"/>
    </xf>
    <xf numFmtId="0" fontId="25" fillId="17" borderId="0" xfId="5" applyFont="1" applyFill="1" applyAlignment="1">
      <alignment horizontal="center" wrapText="1"/>
    </xf>
    <xf numFmtId="0" fontId="25" fillId="17" borderId="0" xfId="5" applyFont="1" applyFill="1" applyAlignment="1">
      <alignment horizontal="center"/>
    </xf>
    <xf numFmtId="43" fontId="25" fillId="18" borderId="0" xfId="5" applyNumberFormat="1" applyFont="1" applyFill="1" applyAlignment="1">
      <alignment horizontal="center"/>
    </xf>
    <xf numFmtId="0" fontId="25" fillId="0" borderId="0" xfId="5" applyFont="1" applyAlignment="1">
      <alignment horizontal="center" wrapText="1"/>
    </xf>
    <xf numFmtId="0" fontId="26" fillId="0" borderId="0" xfId="5" applyFont="1" applyAlignment="1">
      <alignment horizontal="right" vertical="center"/>
    </xf>
    <xf numFmtId="0" fontId="25" fillId="0" borderId="0" xfId="5" applyFont="1" applyAlignment="1">
      <alignment horizontal="center" vertical="center"/>
    </xf>
    <xf numFmtId="43" fontId="26" fillId="0" borderId="0" xfId="5" applyNumberFormat="1" applyFont="1" applyAlignment="1">
      <alignment horizontal="center" vertical="center" wrapText="1"/>
    </xf>
    <xf numFmtId="43" fontId="26" fillId="0" borderId="0" xfId="5" applyNumberFormat="1" applyFont="1" applyAlignment="1">
      <alignment horizontal="center" vertical="center"/>
    </xf>
    <xf numFmtId="43" fontId="28" fillId="14" borderId="0" xfId="5" applyNumberFormat="1" applyFont="1" applyFill="1" applyAlignment="1">
      <alignment horizontal="center" vertical="center" wrapText="1"/>
    </xf>
    <xf numFmtId="43" fontId="26" fillId="17" borderId="0" xfId="5" applyNumberFormat="1" applyFont="1" applyFill="1" applyAlignment="1">
      <alignment horizontal="center" vertical="center"/>
    </xf>
    <xf numFmtId="43" fontId="26" fillId="2" borderId="0" xfId="5" applyNumberFormat="1" applyFont="1" applyFill="1" applyAlignment="1">
      <alignment horizontal="center" vertical="center"/>
    </xf>
    <xf numFmtId="43" fontId="26" fillId="0" borderId="0" xfId="5" applyNumberFormat="1" applyFont="1" applyAlignment="1">
      <alignment vertical="center"/>
    </xf>
    <xf numFmtId="0" fontId="25" fillId="0" borderId="0" xfId="5" applyFont="1" applyAlignment="1">
      <alignment horizontal="left" vertical="center"/>
    </xf>
    <xf numFmtId="43" fontId="29" fillId="12" borderId="0" xfId="5" applyNumberFormat="1" applyFont="1" applyFill="1" applyAlignment="1">
      <alignment horizontal="center" vertical="center"/>
    </xf>
    <xf numFmtId="43" fontId="26" fillId="19" borderId="0" xfId="5" applyNumberFormat="1" applyFont="1" applyFill="1" applyAlignment="1">
      <alignment horizontal="center" vertical="center"/>
    </xf>
    <xf numFmtId="0" fontId="26" fillId="0" borderId="0" xfId="5" applyFont="1" applyAlignment="1">
      <alignment vertical="center" wrapText="1"/>
    </xf>
    <xf numFmtId="4" fontId="26" fillId="20" borderId="1" xfId="5" applyNumberFormat="1" applyFont="1" applyFill="1" applyBorder="1" applyAlignment="1">
      <alignment vertical="center"/>
    </xf>
    <xf numFmtId="0" fontId="26" fillId="0" borderId="0" xfId="5" applyFont="1" applyAlignment="1">
      <alignment horizontal="right"/>
    </xf>
    <xf numFmtId="43" fontId="29" fillId="12" borderId="0" xfId="5" applyNumberFormat="1" applyFont="1" applyFill="1" applyAlignment="1">
      <alignment horizontal="center"/>
    </xf>
    <xf numFmtId="43" fontId="26" fillId="19" borderId="0" xfId="5" applyNumberFormat="1" applyFont="1" applyFill="1" applyAlignment="1">
      <alignment horizontal="center"/>
    </xf>
    <xf numFmtId="43" fontId="26" fillId="17" borderId="0" xfId="5" applyNumberFormat="1" applyFont="1" applyFill="1" applyAlignment="1">
      <alignment horizontal="center"/>
    </xf>
    <xf numFmtId="43" fontId="25" fillId="0" borderId="1" xfId="5" applyNumberFormat="1" applyFont="1" applyBorder="1" applyAlignment="1">
      <alignment horizontal="center"/>
    </xf>
    <xf numFmtId="43" fontId="25" fillId="2" borderId="1" xfId="5" applyNumberFormat="1" applyFont="1" applyFill="1" applyBorder="1" applyAlignment="1">
      <alignment horizontal="center"/>
    </xf>
    <xf numFmtId="0" fontId="25" fillId="17" borderId="0" xfId="5" applyFont="1" applyFill="1"/>
    <xf numFmtId="0" fontId="8" fillId="17" borderId="0" xfId="5" applyFont="1" applyFill="1"/>
    <xf numFmtId="43" fontId="26" fillId="12" borderId="0" xfId="5" applyNumberFormat="1" applyFont="1" applyFill="1" applyAlignment="1">
      <alignment horizontal="center"/>
    </xf>
    <xf numFmtId="43" fontId="26" fillId="22" borderId="0" xfId="5" applyNumberFormat="1" applyFont="1" applyFill="1" applyAlignment="1">
      <alignment horizontal="center"/>
    </xf>
    <xf numFmtId="0" fontId="26" fillId="0" borderId="0" xfId="5" applyFont="1" applyAlignment="1">
      <alignment wrapText="1"/>
    </xf>
    <xf numFmtId="4" fontId="26" fillId="20" borderId="0" xfId="5" applyNumberFormat="1" applyFont="1" applyFill="1"/>
    <xf numFmtId="43" fontId="26" fillId="13" borderId="0" xfId="5" applyNumberFormat="1" applyFont="1" applyFill="1"/>
    <xf numFmtId="173" fontId="25" fillId="0" borderId="1" xfId="5" applyNumberFormat="1" applyFont="1" applyBorder="1"/>
    <xf numFmtId="43" fontId="25" fillId="0" borderId="0" xfId="5" applyNumberFormat="1" applyFont="1"/>
    <xf numFmtId="0" fontId="26" fillId="0" borderId="0" xfId="5" applyFont="1" applyAlignment="1">
      <alignment horizontal="center" vertical="center"/>
    </xf>
    <xf numFmtId="0" fontId="26" fillId="0" borderId="0" xfId="5" applyFont="1" applyAlignment="1">
      <alignment vertical="center"/>
    </xf>
    <xf numFmtId="4" fontId="26" fillId="0" borderId="0" xfId="5" applyNumberFormat="1" applyFont="1" applyAlignment="1">
      <alignment vertical="center"/>
    </xf>
    <xf numFmtId="0" fontId="26" fillId="0" borderId="0" xfId="5" applyFont="1" applyAlignment="1">
      <alignment horizontal="left" vertical="center" wrapText="1"/>
    </xf>
    <xf numFmtId="0" fontId="26" fillId="0" borderId="0" xfId="5" applyFont="1" applyAlignment="1">
      <alignment horizontal="center" vertical="center" wrapText="1"/>
    </xf>
    <xf numFmtId="43" fontId="29" fillId="12" borderId="0" xfId="5" applyNumberFormat="1" applyFont="1" applyFill="1" applyAlignment="1">
      <alignment horizontal="center" vertical="center" wrapText="1"/>
    </xf>
    <xf numFmtId="43" fontId="26" fillId="21" borderId="0" xfId="5" applyNumberFormat="1" applyFont="1" applyFill="1" applyAlignment="1">
      <alignment horizontal="center" vertical="center" wrapText="1"/>
    </xf>
    <xf numFmtId="43" fontId="26" fillId="2" borderId="0" xfId="5" applyNumberFormat="1" applyFont="1" applyFill="1" applyAlignment="1">
      <alignment horizontal="center" vertical="center" wrapText="1"/>
    </xf>
    <xf numFmtId="4" fontId="26" fillId="0" borderId="0" xfId="5" applyNumberFormat="1" applyFont="1" applyAlignment="1">
      <alignment horizontal="center" vertical="center" wrapText="1"/>
    </xf>
    <xf numFmtId="4" fontId="25" fillId="0" borderId="0" xfId="5" applyNumberFormat="1" applyFont="1"/>
    <xf numFmtId="0" fontId="25" fillId="0" borderId="0" xfId="5" applyFont="1" applyAlignment="1">
      <alignment horizontal="right"/>
    </xf>
    <xf numFmtId="10" fontId="26" fillId="0" borderId="0" xfId="5" applyNumberFormat="1" applyFont="1" applyAlignment="1">
      <alignment horizontal="center"/>
    </xf>
    <xf numFmtId="10" fontId="26" fillId="0" borderId="0" xfId="5" applyNumberFormat="1" applyFont="1"/>
    <xf numFmtId="0" fontId="26" fillId="21" borderId="0" xfId="5" applyFont="1" applyFill="1"/>
    <xf numFmtId="0" fontId="25" fillId="23" borderId="0" xfId="5" applyFont="1" applyFill="1"/>
    <xf numFmtId="43" fontId="26" fillId="0" borderId="0" xfId="5" applyNumberFormat="1" applyFont="1" applyAlignment="1">
      <alignment horizontal="right"/>
    </xf>
    <xf numFmtId="40" fontId="26" fillId="0" borderId="0" xfId="5" applyNumberFormat="1" applyFont="1"/>
    <xf numFmtId="164" fontId="26" fillId="0" borderId="0" xfId="5" applyNumberFormat="1" applyFont="1"/>
    <xf numFmtId="173" fontId="26" fillId="0" borderId="0" xfId="5" applyNumberFormat="1" applyFont="1"/>
    <xf numFmtId="0" fontId="26" fillId="13" borderId="0" xfId="5" applyFont="1" applyFill="1"/>
    <xf numFmtId="0" fontId="26" fillId="0" borderId="2" xfId="5" applyFont="1" applyBorder="1"/>
    <xf numFmtId="4" fontId="26" fillId="0" borderId="3" xfId="5" applyNumberFormat="1" applyFont="1" applyBorder="1"/>
    <xf numFmtId="0" fontId="26" fillId="0" borderId="3" xfId="5" applyFont="1" applyBorder="1"/>
    <xf numFmtId="0" fontId="26" fillId="0" borderId="4" xfId="5" applyFont="1" applyBorder="1"/>
    <xf numFmtId="0" fontId="26" fillId="0" borderId="10" xfId="5" applyFont="1" applyBorder="1"/>
    <xf numFmtId="0" fontId="26" fillId="0" borderId="9" xfId="5" applyFont="1" applyBorder="1" applyAlignment="1">
      <alignment horizontal="left"/>
    </xf>
    <xf numFmtId="4" fontId="26" fillId="0" borderId="0" xfId="5" applyNumberFormat="1" applyFont="1" applyAlignment="1">
      <alignment horizontal="center"/>
    </xf>
    <xf numFmtId="0" fontId="26" fillId="0" borderId="10" xfId="5" applyFont="1" applyBorder="1" applyAlignment="1">
      <alignment horizontal="center"/>
    </xf>
    <xf numFmtId="0" fontId="26" fillId="0" borderId="9" xfId="5" applyFont="1" applyBorder="1" applyAlignment="1">
      <alignment horizontal="center"/>
    </xf>
    <xf numFmtId="0" fontId="26" fillId="0" borderId="9" xfId="5" applyFont="1" applyBorder="1"/>
    <xf numFmtId="43" fontId="26" fillId="0" borderId="9" xfId="5" applyNumberFormat="1" applyFont="1" applyBorder="1" applyAlignment="1">
      <alignment vertical="center"/>
    </xf>
    <xf numFmtId="43" fontId="26" fillId="0" borderId="10" xfId="5" applyNumberFormat="1" applyFont="1" applyBorder="1" applyAlignment="1">
      <alignment vertical="center"/>
    </xf>
    <xf numFmtId="43" fontId="25" fillId="0" borderId="9" xfId="5" applyNumberFormat="1" applyFont="1" applyBorder="1" applyAlignment="1">
      <alignment horizontal="left"/>
    </xf>
    <xf numFmtId="43" fontId="25" fillId="0" borderId="0" xfId="5" applyNumberFormat="1" applyFont="1" applyAlignment="1">
      <alignment horizontal="left"/>
    </xf>
    <xf numFmtId="43" fontId="26" fillId="0" borderId="10" xfId="5" applyNumberFormat="1" applyFont="1" applyBorder="1"/>
    <xf numFmtId="0" fontId="4" fillId="0" borderId="9" xfId="5" applyBorder="1"/>
    <xf numFmtId="43" fontId="26" fillId="0" borderId="9" xfId="5" applyNumberFormat="1" applyFont="1" applyBorder="1" applyAlignment="1">
      <alignment horizontal="right"/>
    </xf>
    <xf numFmtId="43" fontId="26" fillId="0" borderId="5" xfId="5" applyNumberFormat="1" applyFont="1" applyBorder="1"/>
    <xf numFmtId="4" fontId="26" fillId="0" borderId="6" xfId="5" applyNumberFormat="1" applyFont="1" applyBorder="1"/>
    <xf numFmtId="43" fontId="26" fillId="0" borderId="6" xfId="5" applyNumberFormat="1" applyFont="1" applyBorder="1"/>
    <xf numFmtId="43" fontId="26" fillId="0" borderId="7" xfId="5" applyNumberFormat="1" applyFont="1" applyBorder="1"/>
    <xf numFmtId="37" fontId="25" fillId="0" borderId="0" xfId="5" applyNumberFormat="1" applyFont="1"/>
    <xf numFmtId="4" fontId="26" fillId="11" borderId="0" xfId="5" applyNumberFormat="1" applyFont="1" applyFill="1"/>
    <xf numFmtId="0" fontId="25" fillId="11" borderId="0" xfId="5" applyFont="1" applyFill="1"/>
    <xf numFmtId="0" fontId="26" fillId="11" borderId="0" xfId="5" applyFont="1" applyFill="1"/>
    <xf numFmtId="0" fontId="26" fillId="11" borderId="10" xfId="5" applyFont="1" applyFill="1" applyBorder="1"/>
    <xf numFmtId="43" fontId="26" fillId="24" borderId="0" xfId="5" applyNumberFormat="1" applyFont="1" applyFill="1" applyAlignment="1">
      <alignment vertical="center"/>
    </xf>
    <xf numFmtId="37" fontId="32" fillId="0" borderId="0" xfId="0" applyFont="1"/>
    <xf numFmtId="37" fontId="33" fillId="0" borderId="0" xfId="0" applyFont="1"/>
    <xf numFmtId="37" fontId="35" fillId="0" borderId="0" xfId="0" applyFont="1" applyAlignment="1">
      <alignment vertical="center" wrapText="1"/>
    </xf>
    <xf numFmtId="0" fontId="31" fillId="3" borderId="0" xfId="5" applyFont="1" applyFill="1"/>
    <xf numFmtId="0" fontId="37" fillId="0" borderId="0" xfId="6"/>
    <xf numFmtId="37" fontId="16" fillId="0" borderId="0" xfId="0" applyFont="1" applyAlignment="1">
      <alignment wrapText="1"/>
    </xf>
    <xf numFmtId="170" fontId="16" fillId="4" borderId="0" xfId="0" applyNumberFormat="1" applyFont="1" applyFill="1" applyAlignment="1">
      <alignment wrapText="1"/>
    </xf>
    <xf numFmtId="37" fontId="16" fillId="4" borderId="0" xfId="0" applyFont="1" applyFill="1" applyAlignment="1">
      <alignment wrapText="1"/>
    </xf>
    <xf numFmtId="170" fontId="16" fillId="0" borderId="0" xfId="0" applyNumberFormat="1" applyFont="1" applyAlignment="1">
      <alignment wrapText="1"/>
    </xf>
    <xf numFmtId="171" fontId="16" fillId="5" borderId="0" xfId="0" applyNumberFormat="1" applyFont="1" applyFill="1" applyAlignment="1">
      <alignment wrapText="1"/>
    </xf>
    <xf numFmtId="37" fontId="16" fillId="5" borderId="0" xfId="0" applyFont="1" applyFill="1" applyAlignment="1">
      <alignment wrapText="1"/>
    </xf>
    <xf numFmtId="37" fontId="0" fillId="6" borderId="0" xfId="0" applyFill="1" applyAlignment="1">
      <alignment vertical="center" wrapText="1"/>
    </xf>
    <xf numFmtId="172" fontId="17" fillId="0" borderId="0" xfId="0" applyNumberFormat="1" applyFont="1"/>
    <xf numFmtId="37" fontId="17" fillId="0" borderId="0" xfId="0" applyFont="1"/>
    <xf numFmtId="37" fontId="18" fillId="0" borderId="0" xfId="0" applyFont="1"/>
    <xf numFmtId="170" fontId="18" fillId="0" borderId="0" xfId="0" applyNumberFormat="1" applyFont="1"/>
    <xf numFmtId="168" fontId="18" fillId="0" borderId="0" xfId="0" applyNumberFormat="1" applyFont="1"/>
    <xf numFmtId="170" fontId="17" fillId="0" borderId="0" xfId="0" applyNumberFormat="1" applyFont="1"/>
    <xf numFmtId="172" fontId="18" fillId="0" borderId="0" xfId="0" applyNumberFormat="1" applyFont="1"/>
    <xf numFmtId="0" fontId="13" fillId="0" borderId="0" xfId="1" applyFont="1" applyAlignment="1">
      <alignment horizontal="right"/>
    </xf>
    <xf numFmtId="0" fontId="23" fillId="0" borderId="0" xfId="1" applyFont="1" applyAlignment="1">
      <alignment horizontal="right"/>
    </xf>
    <xf numFmtId="0" fontId="13" fillId="0" borderId="0" xfId="1" applyFont="1" applyAlignment="1">
      <alignment horizontal="center"/>
    </xf>
    <xf numFmtId="37" fontId="36" fillId="0" borderId="0" xfId="0" applyFont="1" applyAlignment="1">
      <alignment vertical="center" wrapText="1"/>
    </xf>
    <xf numFmtId="0" fontId="23" fillId="0" borderId="0" xfId="1" applyFont="1" applyAlignment="1">
      <alignment horizontal="center"/>
    </xf>
    <xf numFmtId="8" fontId="10" fillId="0" borderId="0" xfId="1" applyNumberFormat="1" applyFont="1" applyAlignment="1">
      <alignment horizontal="center"/>
    </xf>
    <xf numFmtId="0" fontId="10" fillId="0" borderId="0" xfId="1" applyFont="1" applyAlignment="1">
      <alignment wrapText="1"/>
    </xf>
    <xf numFmtId="170" fontId="10" fillId="0" borderId="0" xfId="1" applyNumberFormat="1" applyFont="1" applyAlignment="1">
      <alignment horizontal="right"/>
    </xf>
    <xf numFmtId="3" fontId="10" fillId="0" borderId="0" xfId="1" applyNumberFormat="1" applyFont="1" applyAlignment="1">
      <alignment horizontal="right"/>
    </xf>
    <xf numFmtId="172" fontId="26" fillId="11" borderId="0" xfId="5" applyNumberFormat="1" applyFont="1" applyFill="1"/>
    <xf numFmtId="43" fontId="28" fillId="12" borderId="0" xfId="5" applyNumberFormat="1" applyFont="1" applyFill="1" applyAlignment="1">
      <alignment horizontal="center" vertical="center" wrapText="1"/>
    </xf>
    <xf numFmtId="0" fontId="16" fillId="0" borderId="0" xfId="6" applyFont="1"/>
    <xf numFmtId="172" fontId="17" fillId="0" borderId="0" xfId="10" applyNumberFormat="1" applyFont="1"/>
    <xf numFmtId="38" fontId="18" fillId="0" borderId="0" xfId="10" applyNumberFormat="1" applyFont="1"/>
    <xf numFmtId="168" fontId="18" fillId="0" borderId="0" xfId="10" applyNumberFormat="1" applyFont="1"/>
    <xf numFmtId="0" fontId="17" fillId="0" borderId="0" xfId="10" applyFont="1"/>
    <xf numFmtId="172" fontId="18" fillId="0" borderId="0" xfId="10" applyNumberFormat="1" applyFont="1"/>
    <xf numFmtId="8" fontId="10" fillId="0" borderId="0" xfId="1" applyNumberFormat="1" applyFont="1"/>
    <xf numFmtId="0" fontId="10" fillId="0" borderId="0" xfId="1" applyFont="1" applyAlignment="1">
      <alignment horizontal="right"/>
    </xf>
    <xf numFmtId="38" fontId="17" fillId="0" borderId="0" xfId="10" applyNumberFormat="1" applyFont="1"/>
    <xf numFmtId="0" fontId="34" fillId="0" borderId="0" xfId="1" applyFont="1" applyAlignment="1">
      <alignment horizontal="right"/>
    </xf>
    <xf numFmtId="0" fontId="34" fillId="0" borderId="0" xfId="1" applyFont="1"/>
    <xf numFmtId="37" fontId="18" fillId="7" borderId="0" xfId="0" applyFont="1" applyFill="1" applyAlignment="1">
      <alignment horizontal="center"/>
    </xf>
    <xf numFmtId="37" fontId="18" fillId="0" borderId="0" xfId="0" applyFont="1" applyAlignment="1">
      <alignment horizontal="center"/>
    </xf>
    <xf numFmtId="170" fontId="18" fillId="0" borderId="0" xfId="0" applyNumberFormat="1" applyFont="1" applyAlignment="1">
      <alignment horizontal="center"/>
    </xf>
    <xf numFmtId="170" fontId="0" fillId="0" borderId="0" xfId="0" applyNumberFormat="1" applyAlignment="1">
      <alignment horizontal="center" vertical="top" wrapText="1"/>
    </xf>
    <xf numFmtId="172" fontId="17" fillId="0" borderId="0" xfId="0" applyNumberFormat="1" applyFont="1" applyAlignment="1">
      <alignment horizontal="center"/>
    </xf>
    <xf numFmtId="168" fontId="18" fillId="0" borderId="0" xfId="0" applyNumberFormat="1" applyFont="1" applyAlignment="1">
      <alignment horizontal="center"/>
    </xf>
    <xf numFmtId="170" fontId="17" fillId="0" borderId="0" xfId="0" applyNumberFormat="1" applyFont="1" applyAlignment="1">
      <alignment horizontal="center"/>
    </xf>
    <xf numFmtId="170" fontId="19" fillId="0" borderId="0" xfId="0" applyNumberFormat="1" applyFont="1" applyAlignment="1">
      <alignment horizontal="center"/>
    </xf>
    <xf numFmtId="37" fontId="18" fillId="8" borderId="0" xfId="0" applyFont="1" applyFill="1" applyAlignment="1">
      <alignment horizontal="center"/>
    </xf>
    <xf numFmtId="170" fontId="18" fillId="8" borderId="0" xfId="0" applyNumberFormat="1" applyFont="1" applyFill="1" applyAlignment="1">
      <alignment horizontal="center"/>
    </xf>
    <xf numFmtId="37" fontId="18" fillId="9" borderId="0" xfId="0" applyFont="1" applyFill="1" applyAlignment="1">
      <alignment horizontal="center"/>
    </xf>
    <xf numFmtId="170" fontId="18" fillId="9" borderId="0" xfId="0" applyNumberFormat="1" applyFont="1" applyFill="1" applyAlignment="1">
      <alignment horizontal="center"/>
    </xf>
    <xf numFmtId="37" fontId="18" fillId="10" borderId="0" xfId="0" applyFont="1" applyFill="1" applyAlignment="1">
      <alignment horizontal="center"/>
    </xf>
    <xf numFmtId="170" fontId="18" fillId="10" borderId="0" xfId="0" applyNumberFormat="1" applyFont="1" applyFill="1" applyAlignment="1">
      <alignment horizontal="center"/>
    </xf>
    <xf numFmtId="167" fontId="18" fillId="0" borderId="0" xfId="0" applyNumberFormat="1" applyFont="1"/>
    <xf numFmtId="37" fontId="18" fillId="3" borderId="0" xfId="0" applyFont="1" applyFill="1" applyAlignment="1">
      <alignment horizontal="center"/>
    </xf>
    <xf numFmtId="0" fontId="17" fillId="0" borderId="0" xfId="10" applyFont="1" applyAlignment="1">
      <alignment horizontal="center"/>
    </xf>
    <xf numFmtId="3" fontId="17" fillId="0" borderId="0" xfId="10" applyNumberFormat="1" applyFont="1" applyAlignment="1">
      <alignment horizontal="center" wrapText="1"/>
    </xf>
    <xf numFmtId="172" fontId="18" fillId="0" borderId="0" xfId="10" applyNumberFormat="1" applyFont="1" applyAlignment="1">
      <alignment horizontal="center"/>
    </xf>
    <xf numFmtId="168" fontId="17" fillId="0" borderId="0" xfId="10" applyNumberFormat="1" applyFont="1" applyAlignment="1">
      <alignment horizontal="center"/>
    </xf>
    <xf numFmtId="168" fontId="17" fillId="0" borderId="0" xfId="10" applyNumberFormat="1" applyFont="1" applyAlignment="1">
      <alignment horizontal="center" wrapText="1"/>
    </xf>
    <xf numFmtId="168" fontId="18" fillId="0" borderId="0" xfId="10" applyNumberFormat="1" applyFont="1" applyAlignment="1">
      <alignment horizontal="center"/>
    </xf>
    <xf numFmtId="178" fontId="17" fillId="0" borderId="0" xfId="10" applyNumberFormat="1" applyFont="1"/>
    <xf numFmtId="0" fontId="18" fillId="0" borderId="0" xfId="10" applyFont="1" applyAlignment="1">
      <alignment horizontal="center"/>
    </xf>
    <xf numFmtId="0" fontId="16" fillId="0" borderId="0" xfId="10" applyFont="1" applyAlignment="1">
      <alignment horizontal="center" wrapText="1"/>
    </xf>
    <xf numFmtId="170" fontId="16" fillId="4" borderId="0" xfId="10" applyNumberFormat="1" applyFont="1" applyFill="1" applyAlignment="1">
      <alignment horizontal="center" wrapText="1"/>
    </xf>
    <xf numFmtId="0" fontId="16" fillId="4" borderId="0" xfId="10" applyFont="1" applyFill="1" applyAlignment="1">
      <alignment horizontal="center" wrapText="1"/>
    </xf>
    <xf numFmtId="171" fontId="16" fillId="5" borderId="0" xfId="10" applyNumberFormat="1" applyFont="1" applyFill="1" applyAlignment="1">
      <alignment horizontal="center" wrapText="1"/>
    </xf>
    <xf numFmtId="0" fontId="16" fillId="5" borderId="0" xfId="10" applyFont="1" applyFill="1" applyAlignment="1">
      <alignment horizontal="center" wrapText="1"/>
    </xf>
    <xf numFmtId="37" fontId="16" fillId="5" borderId="0" xfId="0" applyFont="1" applyFill="1" applyAlignment="1">
      <alignment horizontal="center" wrapText="1"/>
    </xf>
    <xf numFmtId="170" fontId="18" fillId="0" borderId="0" xfId="10" applyNumberFormat="1" applyFont="1" applyAlignment="1">
      <alignment horizontal="center"/>
    </xf>
    <xf numFmtId="38" fontId="18" fillId="0" borderId="0" xfId="10" applyNumberFormat="1" applyFont="1" applyAlignment="1">
      <alignment horizontal="center"/>
    </xf>
    <xf numFmtId="172" fontId="17" fillId="0" borderId="0" xfId="10" applyNumberFormat="1" applyFont="1" applyAlignment="1">
      <alignment horizontal="center"/>
    </xf>
    <xf numFmtId="170" fontId="17" fillId="0" borderId="0" xfId="10" applyNumberFormat="1" applyFont="1" applyAlignment="1">
      <alignment horizontal="center"/>
    </xf>
    <xf numFmtId="0" fontId="45" fillId="0" borderId="0" xfId="1" applyFont="1"/>
    <xf numFmtId="0" fontId="45" fillId="0" borderId="0" xfId="1" applyFont="1" applyAlignment="1">
      <alignment horizontal="right"/>
    </xf>
    <xf numFmtId="0" fontId="10" fillId="0" borderId="16" xfId="1" applyFont="1" applyBorder="1" applyAlignment="1">
      <alignment horizontal="right"/>
    </xf>
    <xf numFmtId="0" fontId="10" fillId="0" borderId="17" xfId="1" applyFont="1" applyBorder="1"/>
    <xf numFmtId="0" fontId="10" fillId="0" borderId="0" xfId="1" applyFont="1" applyAlignment="1" applyProtection="1">
      <alignment horizontal="center"/>
      <protection locked="0"/>
    </xf>
    <xf numFmtId="0" fontId="18" fillId="0" borderId="0" xfId="10" applyFont="1" applyAlignment="1">
      <alignment horizontal="left"/>
    </xf>
    <xf numFmtId="0" fontId="34" fillId="0" borderId="0" xfId="1" applyFont="1" applyAlignment="1">
      <alignment horizontal="right" wrapText="1"/>
    </xf>
    <xf numFmtId="0" fontId="10" fillId="0" borderId="0" xfId="1" applyFont="1" applyAlignment="1">
      <alignment horizontal="right" wrapText="1"/>
    </xf>
    <xf numFmtId="37" fontId="36" fillId="0" borderId="0" xfId="0" applyFont="1" applyAlignment="1" applyProtection="1">
      <alignment vertical="center" wrapText="1"/>
      <protection locked="0"/>
    </xf>
    <xf numFmtId="0" fontId="5" fillId="0" borderId="0" xfId="1" applyProtection="1">
      <protection locked="0"/>
    </xf>
    <xf numFmtId="0" fontId="5" fillId="0" borderId="0" xfId="1" applyAlignment="1" applyProtection="1">
      <alignment horizontal="center"/>
      <protection locked="0"/>
    </xf>
    <xf numFmtId="49" fontId="11" fillId="3" borderId="8" xfId="1" quotePrefix="1" applyNumberFormat="1" applyFont="1" applyFill="1" applyBorder="1" applyAlignment="1" applyProtection="1">
      <alignment horizontal="center"/>
      <protection locked="0"/>
    </xf>
    <xf numFmtId="170" fontId="18" fillId="0" borderId="0" xfId="10" applyNumberFormat="1" applyFont="1" applyAlignment="1">
      <alignment horizontal="right"/>
    </xf>
    <xf numFmtId="168" fontId="17" fillId="0" borderId="0" xfId="0" applyNumberFormat="1" applyFont="1" applyAlignment="1">
      <alignment horizontal="right"/>
    </xf>
    <xf numFmtId="168" fontId="18" fillId="0" borderId="0" xfId="10" applyNumberFormat="1" applyFont="1" applyAlignment="1">
      <alignment horizontal="right"/>
    </xf>
    <xf numFmtId="0" fontId="18" fillId="0" borderId="0" xfId="10" applyFont="1" applyAlignment="1">
      <alignment horizontal="right"/>
    </xf>
    <xf numFmtId="172" fontId="18" fillId="0" borderId="0" xfId="10" applyNumberFormat="1" applyFont="1" applyAlignment="1">
      <alignment horizontal="right"/>
    </xf>
    <xf numFmtId="43" fontId="18" fillId="0" borderId="0" xfId="13" applyFont="1"/>
    <xf numFmtId="37" fontId="18" fillId="0" borderId="0" xfId="0" applyFont="1" applyAlignment="1">
      <alignment horizontal="right"/>
    </xf>
    <xf numFmtId="43" fontId="16" fillId="0" borderId="0" xfId="13" applyFont="1" applyAlignment="1">
      <alignment wrapText="1"/>
    </xf>
    <xf numFmtId="37" fontId="16" fillId="4" borderId="0" xfId="0" applyFont="1" applyFill="1" applyAlignment="1">
      <alignment horizontal="right" wrapText="1"/>
    </xf>
    <xf numFmtId="43" fontId="16" fillId="4" borderId="0" xfId="13" applyFont="1" applyFill="1" applyAlignment="1">
      <alignment wrapText="1"/>
    </xf>
    <xf numFmtId="43" fontId="18" fillId="0" borderId="0" xfId="13" applyFont="1" applyAlignment="1">
      <alignment horizontal="center"/>
    </xf>
    <xf numFmtId="43" fontId="17" fillId="0" borderId="0" xfId="13" applyFont="1" applyAlignment="1">
      <alignment horizontal="center"/>
    </xf>
    <xf numFmtId="166" fontId="18" fillId="0" borderId="0" xfId="0" applyNumberFormat="1" applyFont="1" applyAlignment="1">
      <alignment horizontal="right"/>
    </xf>
    <xf numFmtId="170" fontId="17" fillId="10" borderId="0" xfId="0" applyNumberFormat="1" applyFont="1" applyFill="1" applyAlignment="1">
      <alignment horizontal="center"/>
    </xf>
    <xf numFmtId="168" fontId="18" fillId="10" borderId="0" xfId="0" applyNumberFormat="1" applyFont="1" applyFill="1" applyAlignment="1">
      <alignment horizontal="center"/>
    </xf>
    <xf numFmtId="179" fontId="18" fillId="0" borderId="0" xfId="13" applyNumberFormat="1" applyFont="1"/>
    <xf numFmtId="172" fontId="18" fillId="0" borderId="0" xfId="0" applyNumberFormat="1" applyFont="1" applyAlignment="1">
      <alignment horizontal="right"/>
    </xf>
    <xf numFmtId="179" fontId="16" fillId="4" borderId="0" xfId="13" applyNumberFormat="1" applyFont="1" applyFill="1" applyAlignment="1">
      <alignment wrapText="1"/>
    </xf>
    <xf numFmtId="179" fontId="18" fillId="0" borderId="0" xfId="13" applyNumberFormat="1" applyFont="1" applyAlignment="1">
      <alignment horizontal="center"/>
    </xf>
    <xf numFmtId="0" fontId="31" fillId="28" borderId="0" xfId="5" applyFont="1" applyFill="1"/>
    <xf numFmtId="0" fontId="10" fillId="28" borderId="0" xfId="1" applyFont="1" applyFill="1" applyAlignment="1">
      <alignment horizontal="center"/>
    </xf>
    <xf numFmtId="6" fontId="34" fillId="28" borderId="0" xfId="1" applyNumberFormat="1" applyFont="1" applyFill="1" applyAlignment="1">
      <alignment horizontal="center"/>
    </xf>
    <xf numFmtId="49" fontId="10" fillId="28" borderId="6" xfId="1" applyNumberFormat="1" applyFont="1" applyFill="1" applyBorder="1"/>
    <xf numFmtId="180" fontId="10" fillId="28" borderId="6" xfId="1" applyNumberFormat="1" applyFont="1" applyFill="1" applyBorder="1" applyAlignment="1">
      <alignment horizontal="center"/>
    </xf>
    <xf numFmtId="0" fontId="39" fillId="29" borderId="0" xfId="1" applyFont="1" applyFill="1" applyAlignment="1">
      <alignment horizontal="center" wrapText="1"/>
    </xf>
    <xf numFmtId="0" fontId="12" fillId="29" borderId="0" xfId="1" applyFont="1" applyFill="1" applyAlignment="1">
      <alignment horizontal="center" wrapText="1"/>
    </xf>
    <xf numFmtId="176" fontId="38" fillId="27" borderId="0" xfId="1" quotePrefix="1" applyNumberFormat="1" applyFont="1" applyFill="1" applyAlignment="1">
      <alignment horizontal="center"/>
    </xf>
    <xf numFmtId="15" fontId="13" fillId="27" borderId="0" xfId="1" quotePrefix="1" applyNumberFormat="1" applyFont="1" applyFill="1" applyAlignment="1">
      <alignment horizontal="center"/>
    </xf>
    <xf numFmtId="0" fontId="13" fillId="27" borderId="0" xfId="1" quotePrefix="1" applyFont="1" applyFill="1" applyAlignment="1">
      <alignment horizontal="center"/>
    </xf>
    <xf numFmtId="0" fontId="23" fillId="28" borderId="0" xfId="1" quotePrefix="1" applyFont="1" applyFill="1" applyAlignment="1">
      <alignment horizontal="center"/>
    </xf>
    <xf numFmtId="0" fontId="10" fillId="28" borderId="0" xfId="1" quotePrefix="1" applyFont="1" applyFill="1" applyAlignment="1">
      <alignment horizontal="center"/>
    </xf>
    <xf numFmtId="5" fontId="10" fillId="28" borderId="0" xfId="1" quotePrefix="1" applyNumberFormat="1" applyFont="1" applyFill="1" applyAlignment="1">
      <alignment horizontal="center"/>
    </xf>
    <xf numFmtId="0" fontId="23" fillId="28" borderId="0" xfId="1" applyFont="1" applyFill="1" applyAlignment="1">
      <alignment horizontal="center"/>
    </xf>
    <xf numFmtId="5" fontId="10" fillId="28" borderId="0" xfId="1" applyNumberFormat="1" applyFont="1" applyFill="1" applyAlignment="1">
      <alignment horizontal="center"/>
    </xf>
    <xf numFmtId="6" fontId="23" fillId="28" borderId="0" xfId="1" applyNumberFormat="1" applyFont="1" applyFill="1" applyAlignment="1">
      <alignment horizontal="center"/>
    </xf>
    <xf numFmtId="42" fontId="34" fillId="28" borderId="0" xfId="1" applyNumberFormat="1" applyFont="1" applyFill="1" applyAlignment="1">
      <alignment horizontal="center"/>
    </xf>
    <xf numFmtId="42" fontId="23" fillId="28" borderId="0" xfId="1" applyNumberFormat="1" applyFont="1" applyFill="1" applyAlignment="1">
      <alignment horizontal="center"/>
    </xf>
    <xf numFmtId="0" fontId="34" fillId="28" borderId="0" xfId="1" applyFont="1" applyFill="1" applyAlignment="1">
      <alignment horizontal="center"/>
    </xf>
    <xf numFmtId="168" fontId="34" fillId="28" borderId="0" xfId="1" applyNumberFormat="1" applyFont="1" applyFill="1" applyAlignment="1">
      <alignment horizontal="center"/>
    </xf>
    <xf numFmtId="170" fontId="34" fillId="28" borderId="0" xfId="1" applyNumberFormat="1" applyFont="1" applyFill="1" applyAlignment="1">
      <alignment horizontal="center"/>
    </xf>
    <xf numFmtId="170" fontId="38" fillId="28" borderId="11" xfId="1" applyNumberFormat="1" applyFont="1" applyFill="1" applyBorder="1" applyAlignment="1">
      <alignment horizontal="center"/>
    </xf>
    <xf numFmtId="168" fontId="23" fillId="28" borderId="0" xfId="1" applyNumberFormat="1" applyFont="1" applyFill="1" applyAlignment="1">
      <alignment horizontal="center"/>
    </xf>
    <xf numFmtId="170" fontId="23" fillId="28" borderId="0" xfId="1" applyNumberFormat="1" applyFont="1" applyFill="1" applyAlignment="1">
      <alignment horizontal="center"/>
    </xf>
    <xf numFmtId="170" fontId="10" fillId="28" borderId="0" xfId="1" applyNumberFormat="1" applyFont="1" applyFill="1" applyAlignment="1">
      <alignment horizontal="right"/>
    </xf>
    <xf numFmtId="177" fontId="10" fillId="28" borderId="0" xfId="1" applyNumberFormat="1" applyFont="1" applyFill="1" applyAlignment="1">
      <alignment horizontal="center"/>
    </xf>
    <xf numFmtId="177" fontId="10" fillId="28" borderId="0" xfId="1" applyNumberFormat="1" applyFont="1" applyFill="1" applyAlignment="1">
      <alignment horizontal="right"/>
    </xf>
    <xf numFmtId="177" fontId="13" fillId="28" borderId="0" xfId="1" applyNumberFormat="1" applyFont="1" applyFill="1" applyAlignment="1">
      <alignment horizontal="center"/>
    </xf>
    <xf numFmtId="177" fontId="13" fillId="28" borderId="11" xfId="1" applyNumberFormat="1" applyFont="1" applyFill="1" applyBorder="1" applyAlignment="1">
      <alignment horizontal="center"/>
    </xf>
    <xf numFmtId="177" fontId="23" fillId="28" borderId="0" xfId="1" applyNumberFormat="1" applyFont="1" applyFill="1" applyAlignment="1">
      <alignment horizontal="center"/>
    </xf>
    <xf numFmtId="177" fontId="10" fillId="28" borderId="0" xfId="1" applyNumberFormat="1" applyFont="1" applyFill="1"/>
    <xf numFmtId="170" fontId="10" fillId="28" borderId="0" xfId="1" applyNumberFormat="1" applyFont="1" applyFill="1" applyAlignment="1">
      <alignment horizontal="center"/>
    </xf>
    <xf numFmtId="170" fontId="34" fillId="28" borderId="10" xfId="1" applyNumberFormat="1" applyFont="1" applyFill="1" applyBorder="1" applyAlignment="1">
      <alignment horizontal="center"/>
    </xf>
    <xf numFmtId="170" fontId="10" fillId="28" borderId="9" xfId="1" applyNumberFormat="1" applyFont="1" applyFill="1" applyBorder="1" applyAlignment="1">
      <alignment horizontal="center"/>
    </xf>
    <xf numFmtId="170" fontId="10" fillId="28" borderId="10" xfId="1" applyNumberFormat="1" applyFont="1" applyFill="1" applyBorder="1" applyAlignment="1">
      <alignment horizontal="center"/>
    </xf>
    <xf numFmtId="177" fontId="10" fillId="28" borderId="9" xfId="1" applyNumberFormat="1" applyFont="1" applyFill="1" applyBorder="1" applyAlignment="1">
      <alignment horizontal="center"/>
    </xf>
    <xf numFmtId="177" fontId="10" fillId="28" borderId="10" xfId="1" applyNumberFormat="1" applyFont="1" applyFill="1" applyBorder="1" applyAlignment="1">
      <alignment horizontal="center"/>
    </xf>
    <xf numFmtId="0" fontId="10" fillId="28" borderId="5" xfId="1" applyFont="1" applyFill="1" applyBorder="1" applyAlignment="1">
      <alignment horizontal="center"/>
    </xf>
    <xf numFmtId="0" fontId="10" fillId="28" borderId="6" xfId="1" applyFont="1" applyFill="1" applyBorder="1" applyAlignment="1">
      <alignment horizontal="center"/>
    </xf>
    <xf numFmtId="0" fontId="10" fillId="28" borderId="7" xfId="1" applyFont="1" applyFill="1" applyBorder="1" applyAlignment="1">
      <alignment horizontal="center"/>
    </xf>
    <xf numFmtId="169" fontId="13" fillId="28" borderId="11" xfId="1" applyNumberFormat="1" applyFont="1" applyFill="1" applyBorder="1" applyAlignment="1">
      <alignment horizontal="center"/>
    </xf>
    <xf numFmtId="169" fontId="23" fillId="28" borderId="0" xfId="1" applyNumberFormat="1" applyFont="1" applyFill="1" applyAlignment="1">
      <alignment horizontal="center"/>
    </xf>
    <xf numFmtId="6" fontId="10" fillId="28" borderId="0" xfId="1" applyNumberFormat="1" applyFont="1" applyFill="1" applyAlignment="1" applyProtection="1">
      <alignment horizontal="center"/>
      <protection locked="0"/>
    </xf>
    <xf numFmtId="42" fontId="10" fillId="28" borderId="0" xfId="1" applyNumberFormat="1" applyFont="1" applyFill="1" applyAlignment="1" applyProtection="1">
      <alignment horizontal="center"/>
      <protection locked="0"/>
    </xf>
    <xf numFmtId="170" fontId="34" fillId="31" borderId="0" xfId="1" applyNumberFormat="1" applyFont="1" applyFill="1" applyAlignment="1">
      <alignment horizontal="center"/>
    </xf>
    <xf numFmtId="177" fontId="34" fillId="28" borderId="0" xfId="1" applyNumberFormat="1" applyFont="1" applyFill="1" applyAlignment="1">
      <alignment horizontal="center"/>
    </xf>
    <xf numFmtId="172" fontId="34" fillId="28" borderId="0" xfId="1" applyNumberFormat="1" applyFont="1" applyFill="1" applyAlignment="1">
      <alignment horizontal="center"/>
    </xf>
    <xf numFmtId="172" fontId="34" fillId="28" borderId="9" xfId="1" applyNumberFormat="1" applyFont="1" applyFill="1" applyBorder="1" applyAlignment="1">
      <alignment horizontal="center"/>
    </xf>
    <xf numFmtId="172" fontId="34" fillId="25" borderId="0" xfId="1" applyNumberFormat="1" applyFont="1" applyFill="1" applyAlignment="1">
      <alignment horizontal="center"/>
    </xf>
    <xf numFmtId="170" fontId="34" fillId="25" borderId="0" xfId="1" applyNumberFormat="1" applyFont="1" applyFill="1" applyAlignment="1">
      <alignment horizontal="center"/>
    </xf>
    <xf numFmtId="177" fontId="10" fillId="25" borderId="0" xfId="1" applyNumberFormat="1" applyFont="1" applyFill="1" applyAlignment="1">
      <alignment horizontal="center"/>
    </xf>
    <xf numFmtId="5" fontId="10" fillId="25" borderId="0" xfId="1" applyNumberFormat="1" applyFont="1" applyFill="1" applyAlignment="1">
      <alignment horizontal="center"/>
    </xf>
    <xf numFmtId="177" fontId="10" fillId="3" borderId="8" xfId="1" applyNumberFormat="1" applyFont="1" applyFill="1" applyBorder="1" applyAlignment="1" applyProtection="1">
      <alignment horizontal="center"/>
      <protection locked="0"/>
    </xf>
    <xf numFmtId="170" fontId="34" fillId="3" borderId="8" xfId="1" applyNumberFormat="1" applyFont="1" applyFill="1" applyBorder="1" applyAlignment="1" applyProtection="1">
      <alignment horizontal="center"/>
      <protection locked="0"/>
    </xf>
    <xf numFmtId="170" fontId="10" fillId="3" borderId="8" xfId="1" applyNumberFormat="1" applyFont="1" applyFill="1" applyBorder="1" applyAlignment="1" applyProtection="1">
      <alignment horizontal="center"/>
      <protection locked="0"/>
    </xf>
    <xf numFmtId="0" fontId="49" fillId="0" borderId="0" xfId="1" applyFont="1" applyAlignment="1">
      <alignment horizontal="right"/>
    </xf>
    <xf numFmtId="0" fontId="1" fillId="0" borderId="0" xfId="14"/>
    <xf numFmtId="4" fontId="1" fillId="0" borderId="0" xfId="14" applyNumberFormat="1"/>
    <xf numFmtId="172" fontId="1" fillId="0" borderId="0" xfId="14" applyNumberFormat="1"/>
    <xf numFmtId="181" fontId="1" fillId="0" borderId="0" xfId="14" applyNumberFormat="1"/>
    <xf numFmtId="49" fontId="1" fillId="0" borderId="0" xfId="14" applyNumberFormat="1"/>
    <xf numFmtId="181" fontId="1" fillId="0" borderId="0" xfId="14" quotePrefix="1" applyNumberFormat="1"/>
    <xf numFmtId="41" fontId="0" fillId="0" borderId="0" xfId="15" applyNumberFormat="1" applyFont="1"/>
    <xf numFmtId="0" fontId="25" fillId="30" borderId="0" xfId="1" applyFont="1" applyFill="1"/>
    <xf numFmtId="37" fontId="42" fillId="26" borderId="0" xfId="0" applyFont="1" applyFill="1" applyAlignment="1">
      <alignment vertical="center" wrapText="1"/>
    </xf>
    <xf numFmtId="37" fontId="42" fillId="26" borderId="0" xfId="0" applyFont="1" applyFill="1" applyAlignment="1">
      <alignment vertical="center"/>
    </xf>
    <xf numFmtId="37" fontId="51" fillId="0" borderId="0" xfId="0" applyFont="1"/>
    <xf numFmtId="0" fontId="10" fillId="0" borderId="0" xfId="1" applyFont="1" applyAlignment="1">
      <alignment horizontal="left"/>
    </xf>
    <xf numFmtId="49" fontId="46" fillId="3" borderId="18" xfId="1" applyNumberFormat="1" applyFont="1" applyFill="1" applyBorder="1" applyProtection="1">
      <protection locked="0"/>
    </xf>
    <xf numFmtId="180" fontId="46" fillId="3" borderId="19" xfId="1" applyNumberFormat="1" applyFont="1" applyFill="1" applyBorder="1" applyProtection="1">
      <protection locked="0"/>
    </xf>
    <xf numFmtId="37" fontId="41" fillId="0" borderId="0" xfId="0" applyFont="1" applyAlignment="1">
      <alignment wrapText="1"/>
    </xf>
    <xf numFmtId="37" fontId="32" fillId="0" borderId="0" xfId="0" applyFont="1" applyAlignment="1">
      <alignment wrapText="1"/>
    </xf>
    <xf numFmtId="0" fontId="7" fillId="0" borderId="0" xfId="1" applyFont="1"/>
    <xf numFmtId="37" fontId="43" fillId="0" borderId="0" xfId="0" applyFont="1"/>
    <xf numFmtId="0" fontId="21" fillId="0" borderId="0" xfId="1" applyFont="1"/>
    <xf numFmtId="0" fontId="7" fillId="0" borderId="0" xfId="1" applyFont="1" applyAlignment="1">
      <alignment vertical="center"/>
    </xf>
    <xf numFmtId="0" fontId="7" fillId="0" borderId="0" xfId="1" applyFont="1" applyAlignment="1">
      <alignment vertical="center" wrapText="1"/>
    </xf>
    <xf numFmtId="0" fontId="6" fillId="0" borderId="0" xfId="1" applyFont="1" applyAlignment="1">
      <alignment horizontal="left" vertical="center" wrapText="1"/>
    </xf>
    <xf numFmtId="0" fontId="7" fillId="0" borderId="0" xfId="1" applyFont="1" applyAlignment="1">
      <alignment horizontal="left" wrapText="1"/>
    </xf>
    <xf numFmtId="0" fontId="7" fillId="0" borderId="0" xfId="1" applyFont="1" applyAlignment="1">
      <alignment wrapText="1"/>
    </xf>
    <xf numFmtId="0" fontId="7" fillId="0" borderId="13" xfId="1" applyFont="1" applyBorder="1" applyAlignment="1">
      <alignment wrapText="1"/>
    </xf>
    <xf numFmtId="0" fontId="7" fillId="0" borderId="14" xfId="1" applyFont="1" applyBorder="1" applyAlignment="1">
      <alignment wrapText="1"/>
    </xf>
    <xf numFmtId="0" fontId="7" fillId="0" borderId="15" xfId="1" applyFont="1" applyBorder="1" applyAlignment="1">
      <alignment wrapText="1"/>
    </xf>
    <xf numFmtId="0" fontId="7" fillId="0" borderId="12" xfId="1" applyFont="1" applyBorder="1" applyAlignment="1">
      <alignment wrapText="1"/>
    </xf>
    <xf numFmtId="0" fontId="22" fillId="0" borderId="0" xfId="1" applyFont="1"/>
    <xf numFmtId="170" fontId="16" fillId="4" borderId="0" xfId="10" applyNumberFormat="1" applyFont="1" applyFill="1" applyAlignment="1">
      <alignment horizontal="right" wrapText="1"/>
    </xf>
    <xf numFmtId="43" fontId="52" fillId="0" borderId="0" xfId="13" applyFont="1" applyFill="1" applyBorder="1"/>
    <xf numFmtId="166" fontId="18" fillId="0" borderId="0" xfId="10" applyNumberFormat="1" applyFont="1" applyAlignment="1">
      <alignment horizontal="right"/>
    </xf>
    <xf numFmtId="170" fontId="19" fillId="0" borderId="0" xfId="10" applyNumberFormat="1" applyFont="1" applyAlignment="1">
      <alignment horizontal="right"/>
    </xf>
    <xf numFmtId="182" fontId="53" fillId="0" borderId="0" xfId="0" applyNumberFormat="1" applyFont="1" applyAlignment="1">
      <alignment vertical="top"/>
    </xf>
    <xf numFmtId="37" fontId="53" fillId="0" borderId="0" xfId="0" applyFont="1" applyAlignment="1">
      <alignment vertical="top"/>
    </xf>
    <xf numFmtId="183" fontId="53" fillId="0" borderId="0" xfId="0" applyNumberFormat="1" applyFont="1" applyAlignment="1">
      <alignment vertical="top"/>
    </xf>
    <xf numFmtId="43" fontId="53" fillId="0" borderId="0" xfId="0" applyNumberFormat="1" applyFont="1" applyAlignment="1">
      <alignment vertical="top"/>
    </xf>
    <xf numFmtId="184" fontId="53" fillId="0" borderId="0" xfId="0" applyNumberFormat="1" applyFont="1" applyAlignment="1">
      <alignment vertical="top"/>
    </xf>
    <xf numFmtId="0" fontId="49" fillId="7" borderId="0" xfId="1" applyFont="1" applyFill="1" applyAlignment="1">
      <alignment horizontal="center" vertical="center" wrapText="1"/>
    </xf>
    <xf numFmtId="0" fontId="48" fillId="7" borderId="0" xfId="7" applyNumberFormat="1" applyFont="1" applyFill="1" applyAlignment="1" applyProtection="1">
      <alignment horizontal="center" vertical="center"/>
      <protection locked="0"/>
    </xf>
    <xf numFmtId="0" fontId="46" fillId="3" borderId="0" xfId="1" applyFont="1" applyFill="1" applyAlignment="1" applyProtection="1">
      <alignment horizontal="center"/>
      <protection locked="0"/>
    </xf>
    <xf numFmtId="0" fontId="13" fillId="28" borderId="2" xfId="1" applyFont="1" applyFill="1" applyBorder="1" applyAlignment="1">
      <alignment horizontal="center"/>
    </xf>
    <xf numFmtId="0" fontId="13" fillId="28" borderId="3" xfId="1" applyFont="1" applyFill="1" applyBorder="1" applyAlignment="1">
      <alignment horizontal="center"/>
    </xf>
    <xf numFmtId="0" fontId="13" fillId="28" borderId="4" xfId="1" applyFont="1" applyFill="1" applyBorder="1" applyAlignment="1">
      <alignment horizontal="center"/>
    </xf>
    <xf numFmtId="37" fontId="36" fillId="0" borderId="0" xfId="0" applyFont="1" applyAlignment="1">
      <alignment horizontal="left" vertical="center" wrapText="1"/>
    </xf>
    <xf numFmtId="37" fontId="32" fillId="0" borderId="0" xfId="0" applyFont="1" applyAlignment="1">
      <alignment horizontal="left" vertical="center" wrapText="1"/>
    </xf>
    <xf numFmtId="37" fontId="41" fillId="0" borderId="0" xfId="0" applyFont="1" applyAlignment="1">
      <alignment horizontal="left" vertical="center" wrapText="1"/>
    </xf>
    <xf numFmtId="0" fontId="27" fillId="0" borderId="0" xfId="5" applyFont="1" applyAlignment="1">
      <alignment wrapText="1"/>
    </xf>
    <xf numFmtId="0" fontId="24" fillId="0" borderId="0" xfId="5" applyFont="1"/>
    <xf numFmtId="0" fontId="28" fillId="13" borderId="0" xfId="5" applyFont="1" applyFill="1" applyAlignment="1">
      <alignment textRotation="255"/>
    </xf>
    <xf numFmtId="0" fontId="25" fillId="15" borderId="0" xfId="5" applyFont="1" applyFill="1" applyAlignment="1">
      <alignment horizontal="center" vertical="center"/>
    </xf>
    <xf numFmtId="0" fontId="25" fillId="16" borderId="0" xfId="5" applyFont="1" applyFill="1" applyAlignment="1">
      <alignment horizontal="center" vertical="center"/>
    </xf>
    <xf numFmtId="0" fontId="25" fillId="0" borderId="9" xfId="5" applyFont="1" applyBorder="1" applyAlignment="1">
      <alignment horizontal="center"/>
    </xf>
    <xf numFmtId="0" fontId="28" fillId="13" borderId="0" xfId="5" applyFont="1" applyFill="1" applyAlignment="1">
      <alignment horizontal="center" textRotation="255"/>
    </xf>
    <xf numFmtId="43" fontId="30" fillId="13" borderId="0" xfId="5" applyNumberFormat="1" applyFont="1" applyFill="1" applyAlignment="1">
      <alignment textRotation="255"/>
    </xf>
    <xf numFmtId="168" fontId="17" fillId="3" borderId="0" xfId="10" applyNumberFormat="1" applyFont="1" applyFill="1" applyAlignment="1">
      <alignment horizontal="center"/>
    </xf>
    <xf numFmtId="0" fontId="17" fillId="3" borderId="0" xfId="10" applyFont="1" applyFill="1" applyAlignment="1">
      <alignment horizontal="center"/>
    </xf>
    <xf numFmtId="43" fontId="16" fillId="0" borderId="0" xfId="13" applyFont="1" applyAlignment="1">
      <alignment horizontal="center" wrapText="1"/>
    </xf>
    <xf numFmtId="0" fontId="3" fillId="6" borderId="0" xfId="10" applyFill="1" applyAlignment="1">
      <alignment horizontal="center" vertical="center" wrapText="1"/>
    </xf>
    <xf numFmtId="170" fontId="16" fillId="32" borderId="0" xfId="10" applyNumberFormat="1" applyFont="1" applyFill="1" applyAlignment="1">
      <alignment horizontal="right" wrapText="1"/>
    </xf>
    <xf numFmtId="43" fontId="16" fillId="4" borderId="0" xfId="13" applyFont="1" applyFill="1" applyAlignment="1">
      <alignment horizontal="center" wrapText="1"/>
    </xf>
    <xf numFmtId="168" fontId="17" fillId="3" borderId="0" xfId="10" applyNumberFormat="1" applyFont="1" applyFill="1" applyAlignment="1">
      <alignment horizontal="center" wrapText="1"/>
    </xf>
    <xf numFmtId="3" fontId="17" fillId="3" borderId="0" xfId="10" applyNumberFormat="1" applyFont="1" applyFill="1" applyAlignment="1">
      <alignment horizontal="center" wrapText="1"/>
    </xf>
    <xf numFmtId="166" fontId="17" fillId="0" borderId="0" xfId="13" applyNumberFormat="1" applyFont="1"/>
    <xf numFmtId="43" fontId="53" fillId="0" borderId="0" xfId="13" applyFont="1" applyAlignment="1">
      <alignment horizontal="center"/>
    </xf>
    <xf numFmtId="43" fontId="16" fillId="0" borderId="0" xfId="13" applyFont="1" applyAlignment="1">
      <alignment horizontal="center"/>
    </xf>
    <xf numFmtId="172" fontId="17" fillId="25" borderId="0" xfId="10" applyNumberFormat="1" applyFont="1" applyFill="1" applyAlignment="1">
      <alignment horizontal="center"/>
    </xf>
    <xf numFmtId="168" fontId="17" fillId="27" borderId="0" xfId="0" applyNumberFormat="1" applyFont="1" applyFill="1" applyAlignment="1">
      <alignment horizontal="right"/>
    </xf>
    <xf numFmtId="168" fontId="18" fillId="27" borderId="0" xfId="10" applyNumberFormat="1" applyFont="1" applyFill="1" applyAlignment="1">
      <alignment horizontal="center"/>
    </xf>
    <xf numFmtId="170" fontId="17" fillId="27" borderId="0" xfId="10" applyNumberFormat="1" applyFont="1" applyFill="1" applyAlignment="1">
      <alignment horizontal="center"/>
    </xf>
    <xf numFmtId="0" fontId="18" fillId="27" borderId="0" xfId="10" applyFont="1" applyFill="1" applyAlignment="1">
      <alignment horizontal="center"/>
    </xf>
    <xf numFmtId="0" fontId="18" fillId="8" borderId="0" xfId="10" applyFont="1" applyFill="1" applyAlignment="1">
      <alignment horizontal="center"/>
    </xf>
    <xf numFmtId="166" fontId="17" fillId="10" borderId="0" xfId="13" applyNumberFormat="1" applyFont="1" applyFill="1"/>
    <xf numFmtId="170" fontId="18" fillId="10" borderId="0" xfId="10" applyNumberFormat="1" applyFont="1" applyFill="1" applyAlignment="1">
      <alignment horizontal="right"/>
    </xf>
    <xf numFmtId="168" fontId="18" fillId="10" borderId="0" xfId="10" applyNumberFormat="1" applyFont="1" applyFill="1" applyAlignment="1">
      <alignment horizontal="center"/>
    </xf>
    <xf numFmtId="170" fontId="17" fillId="10" borderId="0" xfId="10" applyNumberFormat="1" applyFont="1" applyFill="1" applyAlignment="1">
      <alignment horizontal="center"/>
    </xf>
    <xf numFmtId="43" fontId="18" fillId="3" borderId="0" xfId="13" applyFont="1" applyFill="1" applyAlignment="1">
      <alignment horizontal="center"/>
    </xf>
    <xf numFmtId="168" fontId="18" fillId="27" borderId="0" xfId="10" applyNumberFormat="1" applyFont="1" applyFill="1" applyAlignment="1">
      <alignment horizontal="left"/>
    </xf>
    <xf numFmtId="168" fontId="18" fillId="27" borderId="0" xfId="10" applyNumberFormat="1" applyFont="1" applyFill="1" applyAlignment="1">
      <alignment horizontal="right"/>
    </xf>
    <xf numFmtId="43" fontId="18" fillId="0" borderId="0" xfId="13" applyFont="1" applyAlignment="1"/>
  </cellXfs>
  <cellStyles count="16">
    <cellStyle name="Comma" xfId="13" builtinId="3"/>
    <cellStyle name="Comma 2" xfId="2" xr:uid="{528971D3-2496-427A-A3EC-958F8B91E33F}"/>
    <cellStyle name="Comma 2 2" xfId="9" xr:uid="{9EF1D8D0-1A62-45BA-9C8A-6E2321A6064B}"/>
    <cellStyle name="Comma 3" xfId="11" xr:uid="{2B0BBD94-FB0F-4624-B1B5-037ACCCD4147}"/>
    <cellStyle name="Comma 4" xfId="15" xr:uid="{ABC8E903-59D9-498B-9433-893DB915FA86}"/>
    <cellStyle name="Currency 2" xfId="3" xr:uid="{9CEBC381-C9B0-4505-9DD3-E45420972F06}"/>
    <cellStyle name="Hyperlink" xfId="7" builtinId="8"/>
    <cellStyle name="Hyperlink 2" xfId="4" xr:uid="{85AE25D8-BFD7-41B7-91DE-6216D261667A}"/>
    <cellStyle name="Normal" xfId="0" builtinId="0"/>
    <cellStyle name="Normal 2" xfId="1" xr:uid="{96540DF0-F5ED-431E-8A00-F824D7618D24}"/>
    <cellStyle name="Normal 2 2" xfId="8" xr:uid="{3C9F84BE-2B10-4A71-8BA2-320351F8C806}"/>
    <cellStyle name="Normal 3" xfId="5" xr:uid="{653D1AB0-26B5-4553-AD46-122BF9A54DD2}"/>
    <cellStyle name="Normal 4" xfId="6" xr:uid="{0406CAF9-B895-4262-9E36-54A1D3C50246}"/>
    <cellStyle name="Normal 5" xfId="10" xr:uid="{00B5F7A6-AF56-47B3-8CD1-8BF9BCC541DD}"/>
    <cellStyle name="Normal 6" xfId="12" xr:uid="{B662CD9D-218C-4622-88AA-D757F4893CD8}"/>
    <cellStyle name="Normal 7" xfId="14" xr:uid="{9B635AE4-388E-46F6-81F6-88C5A3DDC4A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826994</xdr:colOff>
      <xdr:row>75</xdr:row>
      <xdr:rowOff>93569</xdr:rowOff>
    </xdr:from>
    <xdr:to>
      <xdr:col>6</xdr:col>
      <xdr:colOff>9338</xdr:colOff>
      <xdr:row>81</xdr:row>
      <xdr:rowOff>1361</xdr:rowOff>
    </xdr:to>
    <xdr:pic>
      <xdr:nvPicPr>
        <xdr:cNvPr id="2" name="Picture 1" descr="stamp for form # PSF-119 EDAC reviewed 3/10/2024 for 2024-2025&#10;">
          <a:extLst>
            <a:ext uri="{FF2B5EF4-FFF2-40B4-BE49-F238E27FC236}">
              <a16:creationId xmlns:a16="http://schemas.microsoft.com/office/drawing/2014/main" id="{2D866FCC-AAEF-4DFC-A2AD-0FA17175C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9053" y="20516290"/>
          <a:ext cx="3804771" cy="2104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eeves_k\Downloads\Fiscal%20Year%202023-24%20Mill%20Levy%20Table%20(1).xlsx" TargetMode="External"/><Relationship Id="rId1" Type="http://schemas.openxmlformats.org/officeDocument/2006/relationships/externalLinkPath" Target="file:///C:\Users\reeves_k\Downloads\Fiscal%20Year%202023-24%20Mill%20Levy%20Table%2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J:\MILLS\FY2024-25%20Mill%20Information\FY%2024-25%20Mill%20Levy%20Certification%20Form%20WITH%20Calculation%20Worksheet_V3.xlsx" TargetMode="External"/><Relationship Id="rId1" Type="http://schemas.openxmlformats.org/officeDocument/2006/relationships/externalLinkPath" Target="FY%2024-25%20Mill%20Levy%20Certification%20Form%20WITH%20Calculation%20Worksheet_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nal Mill Levies"/>
      <sheetName val="Dec2023Data"/>
      <sheetName val="ByCounty"/>
    </sheetNames>
    <sheetDataSet>
      <sheetData sheetId="0">
        <row r="622">
          <cell r="G622">
            <v>4140.6339999999982</v>
          </cell>
          <cell r="H622">
            <v>346.25099999999992</v>
          </cell>
          <cell r="I622">
            <v>3763.0219999999977</v>
          </cell>
          <cell r="K622">
            <v>4.1420000000000003</v>
          </cell>
          <cell r="M622">
            <v>26.925000000000001</v>
          </cell>
          <cell r="N622">
            <v>38.114999999999995</v>
          </cell>
          <cell r="P622">
            <v>4.4999999999999998E-2</v>
          </cell>
          <cell r="R622">
            <v>748.88752699999986</v>
          </cell>
          <cell r="T622">
            <v>21.875443999999995</v>
          </cell>
          <cell r="V622">
            <v>1047.4974990000001</v>
          </cell>
          <cell r="X622">
            <v>5.9409999999999989</v>
          </cell>
          <cell r="Z622">
            <v>12.173</v>
          </cell>
          <cell r="AB622">
            <v>22.797523999999999</v>
          </cell>
          <cell r="AD622">
            <v>6.3120000000000003</v>
          </cell>
          <cell r="AF622">
            <v>5697.7329940000036</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
      <sheetName val="Cover"/>
      <sheetName val="BOE Resolution"/>
      <sheetName val="Calculation Worksheet"/>
      <sheetName val="Sheet5"/>
      <sheetName val="Sheet6"/>
      <sheetName val="CDE Mill Levy Certify Form"/>
      <sheetName val="Dec2022Data"/>
      <sheetName val="Suppl Info"/>
      <sheetName val="General #10 collections"/>
      <sheetName val="Bond #31 collections "/>
      <sheetName val="Transportion #25 collections"/>
      <sheetName val="Special BLDG &amp; Tech #42 collec"/>
      <sheetName val="Supp CCTechMaint Fund #46 or 06"/>
      <sheetName val="Data FY23-24 Final"/>
      <sheetName val="Data Aug 2024 AV"/>
      <sheetName val="Hold Harmles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1232202510</v>
          </cell>
          <cell r="E3">
            <v>31247520</v>
          </cell>
          <cell r="F3">
            <v>1200954990</v>
          </cell>
          <cell r="G3">
            <v>159684.66</v>
          </cell>
          <cell r="H3">
            <v>27</v>
          </cell>
          <cell r="I3">
            <v>0</v>
          </cell>
          <cell r="J3">
            <v>27</v>
          </cell>
          <cell r="K3">
            <v>0</v>
          </cell>
          <cell r="L3">
            <v>0</v>
          </cell>
          <cell r="M3">
            <v>0.17799999999999999</v>
          </cell>
          <cell r="N3">
            <v>0</v>
          </cell>
          <cell r="O3">
            <v>15.164</v>
          </cell>
          <cell r="P3">
            <v>0.13300000000000001</v>
          </cell>
          <cell r="Q3">
            <v>42.475000000000001</v>
          </cell>
          <cell r="R3">
            <v>10.079000000000001</v>
          </cell>
          <cell r="S3">
            <v>0</v>
          </cell>
          <cell r="T3">
            <v>0</v>
          </cell>
          <cell r="U3">
            <v>0</v>
          </cell>
          <cell r="V3">
            <v>0</v>
          </cell>
          <cell r="W3">
            <v>52.554000000000002</v>
          </cell>
          <cell r="X3">
            <v>58.73</v>
          </cell>
          <cell r="Y3">
            <v>72816017.049999997</v>
          </cell>
          <cell r="Z3">
            <v>38864454.279999994</v>
          </cell>
        </row>
        <row r="4">
          <cell r="D4">
            <v>4751144900</v>
          </cell>
          <cell r="E4">
            <v>506863436</v>
          </cell>
          <cell r="F4">
            <v>4244281464</v>
          </cell>
          <cell r="G4">
            <v>0</v>
          </cell>
          <cell r="H4">
            <v>27</v>
          </cell>
          <cell r="I4">
            <v>0</v>
          </cell>
          <cell r="J4">
            <v>27</v>
          </cell>
          <cell r="K4">
            <v>0</v>
          </cell>
          <cell r="L4">
            <v>0</v>
          </cell>
          <cell r="M4">
            <v>0</v>
          </cell>
          <cell r="N4">
            <v>0</v>
          </cell>
          <cell r="O4">
            <v>15.930999999999999</v>
          </cell>
          <cell r="P4">
            <v>0.16400000000000001</v>
          </cell>
          <cell r="Q4">
            <v>43.094999999999999</v>
          </cell>
          <cell r="R4">
            <v>18.664999999999999</v>
          </cell>
          <cell r="S4">
            <v>0</v>
          </cell>
          <cell r="T4">
            <v>0</v>
          </cell>
          <cell r="U4">
            <v>0</v>
          </cell>
          <cell r="V4">
            <v>0</v>
          </cell>
          <cell r="W4">
            <v>61.76</v>
          </cell>
          <cell r="X4">
            <v>94.313000000000002</v>
          </cell>
          <cell r="Y4">
            <v>374148236.75977516</v>
          </cell>
          <cell r="Z4">
            <v>253832418.12177518</v>
          </cell>
        </row>
        <row r="5">
          <cell r="D5">
            <v>1244394380</v>
          </cell>
          <cell r="E5">
            <v>10144740</v>
          </cell>
          <cell r="F5">
            <v>1234249640</v>
          </cell>
          <cell r="G5">
            <v>55449</v>
          </cell>
          <cell r="H5">
            <v>27</v>
          </cell>
          <cell r="I5">
            <v>0</v>
          </cell>
          <cell r="J5">
            <v>27</v>
          </cell>
          <cell r="K5">
            <v>0</v>
          </cell>
          <cell r="L5">
            <v>0</v>
          </cell>
          <cell r="M5">
            <v>0</v>
          </cell>
          <cell r="N5">
            <v>0</v>
          </cell>
          <cell r="O5">
            <v>3.9620000000000002</v>
          </cell>
          <cell r="P5">
            <v>4.4999999999999998E-2</v>
          </cell>
          <cell r="Q5">
            <v>31.007000000000001</v>
          </cell>
          <cell r="R5">
            <v>6.0679999999999996</v>
          </cell>
          <cell r="S5">
            <v>0</v>
          </cell>
          <cell r="T5">
            <v>0</v>
          </cell>
          <cell r="U5">
            <v>0</v>
          </cell>
          <cell r="V5">
            <v>0</v>
          </cell>
          <cell r="W5">
            <v>37.075000000000003</v>
          </cell>
          <cell r="X5">
            <v>54.253999999999998</v>
          </cell>
          <cell r="Y5">
            <v>62224590.768000007</v>
          </cell>
          <cell r="Z5">
            <v>27538627.698000006</v>
          </cell>
        </row>
        <row r="6">
          <cell r="D6">
            <v>3430530710</v>
          </cell>
          <cell r="E6">
            <v>405483181</v>
          </cell>
          <cell r="F6">
            <v>3025047529</v>
          </cell>
          <cell r="G6">
            <v>175278.13</v>
          </cell>
          <cell r="H6">
            <v>27</v>
          </cell>
          <cell r="I6">
            <v>0</v>
          </cell>
          <cell r="J6">
            <v>27</v>
          </cell>
          <cell r="K6">
            <v>0</v>
          </cell>
          <cell r="L6">
            <v>0</v>
          </cell>
          <cell r="M6">
            <v>0</v>
          </cell>
          <cell r="N6">
            <v>0</v>
          </cell>
          <cell r="O6">
            <v>8.2479999999999993</v>
          </cell>
          <cell r="P6">
            <v>5.8000000000000003E-2</v>
          </cell>
          <cell r="Q6">
            <v>35.305999999999997</v>
          </cell>
          <cell r="R6">
            <v>20.984000000000002</v>
          </cell>
          <cell r="S6">
            <v>0</v>
          </cell>
          <cell r="T6">
            <v>0</v>
          </cell>
          <cell r="U6">
            <v>0</v>
          </cell>
          <cell r="V6">
            <v>0</v>
          </cell>
          <cell r="W6">
            <v>56.29</v>
          </cell>
          <cell r="X6">
            <v>73.143000000000001</v>
          </cell>
          <cell r="Y6">
            <v>232279633.234</v>
          </cell>
          <cell r="Z6">
            <v>148542753.82100001</v>
          </cell>
        </row>
        <row r="7">
          <cell r="D7">
            <v>515611976</v>
          </cell>
          <cell r="E7">
            <v>0</v>
          </cell>
          <cell r="F7">
            <v>515611976</v>
          </cell>
          <cell r="G7">
            <v>4234</v>
          </cell>
          <cell r="H7">
            <v>25.265000000000001</v>
          </cell>
          <cell r="I7">
            <v>0</v>
          </cell>
          <cell r="J7">
            <v>25.265000000000001</v>
          </cell>
          <cell r="K7">
            <v>0</v>
          </cell>
          <cell r="L7">
            <v>0</v>
          </cell>
          <cell r="M7">
            <v>0</v>
          </cell>
          <cell r="N7">
            <v>0</v>
          </cell>
          <cell r="O7">
            <v>0</v>
          </cell>
          <cell r="P7">
            <v>1.7999999999999999E-2</v>
          </cell>
          <cell r="Q7">
            <v>25.283000000000001</v>
          </cell>
          <cell r="R7">
            <v>0</v>
          </cell>
          <cell r="S7">
            <v>0</v>
          </cell>
          <cell r="T7">
            <v>0</v>
          </cell>
          <cell r="U7">
            <v>0</v>
          </cell>
          <cell r="V7">
            <v>0</v>
          </cell>
          <cell r="W7">
            <v>25.283000000000001</v>
          </cell>
          <cell r="X7">
            <v>26.891999999999999</v>
          </cell>
          <cell r="Y7">
            <v>17081713.059999999</v>
          </cell>
          <cell r="Z7">
            <v>3650532.8863599985</v>
          </cell>
        </row>
        <row r="8">
          <cell r="D8">
            <v>130358063</v>
          </cell>
          <cell r="E8">
            <v>0</v>
          </cell>
          <cell r="F8">
            <v>130358063</v>
          </cell>
          <cell r="G8">
            <v>17138</v>
          </cell>
          <cell r="H8">
            <v>27</v>
          </cell>
          <cell r="I8">
            <v>0</v>
          </cell>
          <cell r="J8">
            <v>27</v>
          </cell>
          <cell r="K8">
            <v>0</v>
          </cell>
          <cell r="L8">
            <v>0</v>
          </cell>
          <cell r="M8">
            <v>0</v>
          </cell>
          <cell r="N8">
            <v>0</v>
          </cell>
          <cell r="O8">
            <v>2.3010000000000002</v>
          </cell>
          <cell r="P8">
            <v>0.13100000000000001</v>
          </cell>
          <cell r="Q8">
            <v>29.431999999999999</v>
          </cell>
          <cell r="R8">
            <v>11.507</v>
          </cell>
          <cell r="S8">
            <v>0</v>
          </cell>
          <cell r="T8">
            <v>0</v>
          </cell>
          <cell r="U8">
            <v>0</v>
          </cell>
          <cell r="V8">
            <v>0</v>
          </cell>
          <cell r="W8">
            <v>40.939</v>
          </cell>
          <cell r="X8">
            <v>90.808999999999997</v>
          </cell>
          <cell r="Y8">
            <v>12253201.73</v>
          </cell>
          <cell r="Z8">
            <v>8559170.1790000014</v>
          </cell>
        </row>
        <row r="9">
          <cell r="D9">
            <v>1113441980</v>
          </cell>
          <cell r="E9">
            <v>2425470</v>
          </cell>
          <cell r="F9">
            <v>1111016510</v>
          </cell>
          <cell r="G9">
            <v>56069</v>
          </cell>
          <cell r="H9">
            <v>27</v>
          </cell>
          <cell r="I9">
            <v>0</v>
          </cell>
          <cell r="J9">
            <v>27</v>
          </cell>
          <cell r="K9">
            <v>0</v>
          </cell>
          <cell r="L9">
            <v>0</v>
          </cell>
          <cell r="M9">
            <v>0.46700000000000003</v>
          </cell>
          <cell r="N9">
            <v>0</v>
          </cell>
          <cell r="O9">
            <v>24.437000000000001</v>
          </cell>
          <cell r="P9">
            <v>0.05</v>
          </cell>
          <cell r="Q9">
            <v>51.954000000000001</v>
          </cell>
          <cell r="R9">
            <v>7.4909999999999997</v>
          </cell>
          <cell r="S9">
            <v>0</v>
          </cell>
          <cell r="T9">
            <v>0</v>
          </cell>
          <cell r="U9">
            <v>0</v>
          </cell>
          <cell r="V9">
            <v>0</v>
          </cell>
          <cell r="W9">
            <v>59.445</v>
          </cell>
          <cell r="X9">
            <v>81.93</v>
          </cell>
          <cell r="Y9">
            <v>86161995.262000009</v>
          </cell>
          <cell r="Z9">
            <v>54458995.902000003</v>
          </cell>
        </row>
        <row r="10">
          <cell r="D10">
            <v>163375028</v>
          </cell>
          <cell r="E10">
            <v>0</v>
          </cell>
          <cell r="F10">
            <v>163375028</v>
          </cell>
          <cell r="G10">
            <v>26664</v>
          </cell>
          <cell r="H10">
            <v>27</v>
          </cell>
          <cell r="I10">
            <v>0</v>
          </cell>
          <cell r="J10">
            <v>27</v>
          </cell>
          <cell r="K10">
            <v>0</v>
          </cell>
          <cell r="L10">
            <v>0</v>
          </cell>
          <cell r="M10">
            <v>0</v>
          </cell>
          <cell r="N10">
            <v>0</v>
          </cell>
          <cell r="O10">
            <v>0</v>
          </cell>
          <cell r="P10">
            <v>0.16300000000000001</v>
          </cell>
          <cell r="Q10">
            <v>27.163</v>
          </cell>
          <cell r="R10">
            <v>6.7329999999999997</v>
          </cell>
          <cell r="S10">
            <v>0</v>
          </cell>
          <cell r="T10">
            <v>0</v>
          </cell>
          <cell r="U10">
            <v>0</v>
          </cell>
          <cell r="V10">
            <v>0</v>
          </cell>
          <cell r="W10">
            <v>33.896000000000001</v>
          </cell>
          <cell r="X10">
            <v>126.002</v>
          </cell>
          <cell r="Y10">
            <v>22641780.809999999</v>
          </cell>
          <cell r="Z10">
            <v>17664758.733999997</v>
          </cell>
        </row>
        <row r="11">
          <cell r="D11">
            <v>46965547</v>
          </cell>
          <cell r="E11">
            <v>0</v>
          </cell>
          <cell r="F11">
            <v>46965547</v>
          </cell>
          <cell r="G11">
            <v>1943</v>
          </cell>
          <cell r="H11">
            <v>27</v>
          </cell>
          <cell r="I11">
            <v>0</v>
          </cell>
          <cell r="J11">
            <v>27</v>
          </cell>
          <cell r="K11">
            <v>0</v>
          </cell>
          <cell r="L11">
            <v>0</v>
          </cell>
          <cell r="M11">
            <v>0</v>
          </cell>
          <cell r="N11">
            <v>0</v>
          </cell>
          <cell r="O11">
            <v>0</v>
          </cell>
          <cell r="P11">
            <v>4.1000000000000002E-2</v>
          </cell>
          <cell r="Q11">
            <v>27.041</v>
          </cell>
          <cell r="R11">
            <v>6.59</v>
          </cell>
          <cell r="S11">
            <v>0</v>
          </cell>
          <cell r="T11">
            <v>0</v>
          </cell>
          <cell r="U11">
            <v>0</v>
          </cell>
          <cell r="V11">
            <v>0</v>
          </cell>
          <cell r="W11">
            <v>33.631</v>
          </cell>
          <cell r="X11">
            <v>77.784000000000006</v>
          </cell>
          <cell r="Y11">
            <v>3938391.9</v>
          </cell>
          <cell r="Z11">
            <v>2529489.321</v>
          </cell>
        </row>
        <row r="12">
          <cell r="D12">
            <v>886087974</v>
          </cell>
          <cell r="E12">
            <v>55958206</v>
          </cell>
          <cell r="F12">
            <v>830129768</v>
          </cell>
          <cell r="G12">
            <v>146463</v>
          </cell>
          <cell r="H12">
            <v>27</v>
          </cell>
          <cell r="I12">
            <v>2.105</v>
          </cell>
          <cell r="J12">
            <v>24.895</v>
          </cell>
          <cell r="K12">
            <v>0</v>
          </cell>
          <cell r="L12">
            <v>0</v>
          </cell>
          <cell r="M12">
            <v>0</v>
          </cell>
          <cell r="N12">
            <v>0</v>
          </cell>
          <cell r="O12">
            <v>7.415527</v>
          </cell>
          <cell r="P12">
            <v>0.17643400000000001</v>
          </cell>
          <cell r="Q12">
            <v>32.486961000000001</v>
          </cell>
          <cell r="R12">
            <v>11.769479</v>
          </cell>
          <cell r="S12">
            <v>0</v>
          </cell>
          <cell r="T12">
            <v>0</v>
          </cell>
          <cell r="U12">
            <v>4.818524</v>
          </cell>
          <cell r="V12">
            <v>0</v>
          </cell>
          <cell r="W12">
            <v>49.074964000000001</v>
          </cell>
          <cell r="X12">
            <v>27.728999999999999</v>
          </cell>
          <cell r="Y12">
            <v>24995730.359999999</v>
          </cell>
          <cell r="Z12">
            <v>3117535.4856399978</v>
          </cell>
        </row>
        <row r="13">
          <cell r="D13">
            <v>371965819</v>
          </cell>
          <cell r="E13">
            <v>41392279</v>
          </cell>
          <cell r="F13">
            <v>330573540</v>
          </cell>
          <cell r="G13">
            <v>124740</v>
          </cell>
          <cell r="H13">
            <v>27</v>
          </cell>
          <cell r="I13">
            <v>3.0529999999999999</v>
          </cell>
          <cell r="J13">
            <v>23.946999999999999</v>
          </cell>
          <cell r="K13">
            <v>0</v>
          </cell>
          <cell r="L13">
            <v>0</v>
          </cell>
          <cell r="M13">
            <v>0</v>
          </cell>
          <cell r="N13">
            <v>0</v>
          </cell>
          <cell r="O13">
            <v>11.561999999999999</v>
          </cell>
          <cell r="P13">
            <v>0.377</v>
          </cell>
          <cell r="Q13">
            <v>35.886000000000003</v>
          </cell>
          <cell r="R13">
            <v>4.3860000000000001</v>
          </cell>
          <cell r="S13">
            <v>0</v>
          </cell>
          <cell r="T13">
            <v>0</v>
          </cell>
          <cell r="U13">
            <v>0</v>
          </cell>
          <cell r="V13">
            <v>0</v>
          </cell>
          <cell r="W13">
            <v>40.271999999999998</v>
          </cell>
          <cell r="X13">
            <v>38.283000000000001</v>
          </cell>
          <cell r="Y13">
            <v>13505364.27</v>
          </cell>
          <cell r="Z13">
            <v>5121841.9976199996</v>
          </cell>
        </row>
        <row r="14">
          <cell r="D14">
            <v>8942553374</v>
          </cell>
          <cell r="E14">
            <v>65190805</v>
          </cell>
          <cell r="F14">
            <v>8877362569</v>
          </cell>
          <cell r="G14">
            <v>2604346</v>
          </cell>
          <cell r="H14">
            <v>18.756</v>
          </cell>
          <cell r="I14">
            <v>0</v>
          </cell>
          <cell r="J14">
            <v>18.756</v>
          </cell>
          <cell r="K14">
            <v>0</v>
          </cell>
          <cell r="L14">
            <v>0</v>
          </cell>
          <cell r="M14">
            <v>0.72699999999999998</v>
          </cell>
          <cell r="N14">
            <v>4.4999999999999998E-2</v>
          </cell>
          <cell r="O14">
            <v>15.178000000000001</v>
          </cell>
          <cell r="P14">
            <v>0.29299999999999998</v>
          </cell>
          <cell r="Q14">
            <v>34.999000000000002</v>
          </cell>
          <cell r="R14">
            <v>7.7759999999999998</v>
          </cell>
          <cell r="S14">
            <v>0</v>
          </cell>
          <cell r="T14">
            <v>0</v>
          </cell>
          <cell r="U14">
            <v>4.7919999999999998</v>
          </cell>
          <cell r="V14">
            <v>0</v>
          </cell>
          <cell r="W14">
            <v>47.567</v>
          </cell>
          <cell r="X14">
            <v>58.149000000000001</v>
          </cell>
          <cell r="Y14">
            <v>553672824.47000003</v>
          </cell>
          <cell r="Z14">
            <v>375015610.895836</v>
          </cell>
        </row>
        <row r="15">
          <cell r="D15">
            <v>2504517266</v>
          </cell>
          <cell r="E15">
            <v>33512504</v>
          </cell>
          <cell r="F15">
            <v>2471004762</v>
          </cell>
          <cell r="G15">
            <v>836152</v>
          </cell>
          <cell r="H15">
            <v>27</v>
          </cell>
          <cell r="I15">
            <v>0</v>
          </cell>
          <cell r="J15">
            <v>27</v>
          </cell>
          <cell r="K15">
            <v>0</v>
          </cell>
          <cell r="L15">
            <v>0</v>
          </cell>
          <cell r="M15">
            <v>0.93700000000000006</v>
          </cell>
          <cell r="N15">
            <v>0</v>
          </cell>
          <cell r="O15">
            <v>10.724</v>
          </cell>
          <cell r="P15">
            <v>0.33800000000000002</v>
          </cell>
          <cell r="Q15">
            <v>38.999000000000002</v>
          </cell>
          <cell r="R15">
            <v>14.848000000000001</v>
          </cell>
          <cell r="S15">
            <v>0</v>
          </cell>
          <cell r="T15">
            <v>9</v>
          </cell>
          <cell r="U15">
            <v>0</v>
          </cell>
          <cell r="V15">
            <v>0</v>
          </cell>
          <cell r="W15">
            <v>62.847000000000001</v>
          </cell>
          <cell r="X15">
            <v>51.186</v>
          </cell>
          <cell r="Y15">
            <v>137612565.58000001</v>
          </cell>
          <cell r="Z15">
            <v>66008161.186000012</v>
          </cell>
        </row>
        <row r="16">
          <cell r="D16">
            <v>51934834</v>
          </cell>
          <cell r="E16">
            <v>0</v>
          </cell>
          <cell r="F16">
            <v>51934834</v>
          </cell>
          <cell r="G16">
            <v>6239</v>
          </cell>
          <cell r="H16">
            <v>27</v>
          </cell>
          <cell r="I16">
            <v>0</v>
          </cell>
          <cell r="J16">
            <v>27</v>
          </cell>
          <cell r="K16">
            <v>0</v>
          </cell>
          <cell r="L16">
            <v>0</v>
          </cell>
          <cell r="M16">
            <v>0.125</v>
          </cell>
          <cell r="N16">
            <v>0</v>
          </cell>
          <cell r="O16">
            <v>0</v>
          </cell>
          <cell r="P16">
            <v>0.12</v>
          </cell>
          <cell r="Q16">
            <v>27.245000000000001</v>
          </cell>
          <cell r="R16">
            <v>10.238</v>
          </cell>
          <cell r="S16">
            <v>0</v>
          </cell>
          <cell r="T16">
            <v>0</v>
          </cell>
          <cell r="U16">
            <v>0</v>
          </cell>
          <cell r="V16">
            <v>0</v>
          </cell>
          <cell r="W16">
            <v>37.482999999999997</v>
          </cell>
          <cell r="X16">
            <v>79.424000000000007</v>
          </cell>
          <cell r="Y16">
            <v>4833347.62</v>
          </cell>
          <cell r="Z16">
            <v>3338701.352</v>
          </cell>
        </row>
        <row r="17">
          <cell r="D17">
            <v>5450700306</v>
          </cell>
          <cell r="E17">
            <v>141360140</v>
          </cell>
          <cell r="F17">
            <v>5309340166</v>
          </cell>
          <cell r="G17">
            <v>1686636.33</v>
          </cell>
          <cell r="H17">
            <v>27</v>
          </cell>
          <cell r="I17">
            <v>0</v>
          </cell>
          <cell r="J17">
            <v>27</v>
          </cell>
          <cell r="K17">
            <v>0</v>
          </cell>
          <cell r="L17">
            <v>0</v>
          </cell>
          <cell r="M17">
            <v>0</v>
          </cell>
          <cell r="N17">
            <v>0</v>
          </cell>
          <cell r="O17">
            <v>22.113</v>
          </cell>
          <cell r="P17">
            <v>0.318</v>
          </cell>
          <cell r="Q17">
            <v>49.430999999999997</v>
          </cell>
          <cell r="R17">
            <v>21.9</v>
          </cell>
          <cell r="S17">
            <v>0</v>
          </cell>
          <cell r="T17">
            <v>0</v>
          </cell>
          <cell r="U17">
            <v>0</v>
          </cell>
          <cell r="V17">
            <v>0</v>
          </cell>
          <cell r="W17">
            <v>71.331000000000003</v>
          </cell>
          <cell r="X17">
            <v>76.611000000000004</v>
          </cell>
          <cell r="Y17">
            <v>424034633.58399999</v>
          </cell>
          <cell r="Z17">
            <v>274099293.06199998</v>
          </cell>
        </row>
        <row r="18">
          <cell r="D18">
            <v>68763148</v>
          </cell>
          <cell r="E18">
            <v>0</v>
          </cell>
          <cell r="F18">
            <v>68763148</v>
          </cell>
          <cell r="G18">
            <v>413</v>
          </cell>
          <cell r="H18">
            <v>27</v>
          </cell>
          <cell r="I18">
            <v>9.0999999999999998E-2</v>
          </cell>
          <cell r="J18">
            <v>26.908999999999999</v>
          </cell>
          <cell r="K18">
            <v>0</v>
          </cell>
          <cell r="L18">
            <v>0</v>
          </cell>
          <cell r="M18">
            <v>0</v>
          </cell>
          <cell r="N18">
            <v>0</v>
          </cell>
          <cell r="O18">
            <v>3.4950000000000001</v>
          </cell>
          <cell r="P18">
            <v>6.0000000000000001E-3</v>
          </cell>
          <cell r="Q18">
            <v>30.41</v>
          </cell>
          <cell r="R18">
            <v>0</v>
          </cell>
          <cell r="S18">
            <v>0</v>
          </cell>
          <cell r="T18">
            <v>0</v>
          </cell>
          <cell r="U18">
            <v>0</v>
          </cell>
          <cell r="V18">
            <v>0</v>
          </cell>
          <cell r="W18">
            <v>30.41</v>
          </cell>
          <cell r="X18">
            <v>741.23400000000004</v>
          </cell>
          <cell r="Y18">
            <v>62522143.43</v>
          </cell>
          <cell r="Z18">
            <v>60561146.470468</v>
          </cell>
        </row>
        <row r="19">
          <cell r="D19">
            <v>564498330</v>
          </cell>
          <cell r="E19">
            <v>0</v>
          </cell>
          <cell r="F19">
            <v>564498330</v>
          </cell>
          <cell r="G19">
            <v>33486.65</v>
          </cell>
          <cell r="H19">
            <v>27</v>
          </cell>
          <cell r="I19">
            <v>2.9860000000000002</v>
          </cell>
          <cell r="J19">
            <v>24.013999999999999</v>
          </cell>
          <cell r="K19">
            <v>0</v>
          </cell>
          <cell r="L19">
            <v>0</v>
          </cell>
          <cell r="M19">
            <v>0</v>
          </cell>
          <cell r="N19">
            <v>0</v>
          </cell>
          <cell r="O19">
            <v>3.012</v>
          </cell>
          <cell r="P19">
            <v>5.8999999999999997E-2</v>
          </cell>
          <cell r="Q19">
            <v>27.085000000000001</v>
          </cell>
          <cell r="R19">
            <v>0</v>
          </cell>
          <cell r="S19">
            <v>0</v>
          </cell>
          <cell r="T19">
            <v>0</v>
          </cell>
          <cell r="U19">
            <v>0</v>
          </cell>
          <cell r="V19">
            <v>0</v>
          </cell>
          <cell r="W19">
            <v>27.085000000000001</v>
          </cell>
          <cell r="X19">
            <v>28.763000000000002</v>
          </cell>
          <cell r="Y19">
            <v>17711655.25</v>
          </cell>
          <cell r="Z19">
            <v>3268783.9933800003</v>
          </cell>
        </row>
        <row r="20">
          <cell r="D20">
            <v>26345104</v>
          </cell>
          <cell r="E20">
            <v>0</v>
          </cell>
          <cell r="F20">
            <v>26345104</v>
          </cell>
          <cell r="G20">
            <v>9352</v>
          </cell>
          <cell r="H20">
            <v>27</v>
          </cell>
          <cell r="I20">
            <v>4.6989999999999998</v>
          </cell>
          <cell r="J20">
            <v>22.300999999999998</v>
          </cell>
          <cell r="K20">
            <v>0</v>
          </cell>
          <cell r="L20">
            <v>0</v>
          </cell>
          <cell r="M20">
            <v>0</v>
          </cell>
          <cell r="N20">
            <v>0</v>
          </cell>
          <cell r="O20">
            <v>6.7889999999999997</v>
          </cell>
          <cell r="P20">
            <v>0.35499999999999998</v>
          </cell>
          <cell r="Q20">
            <v>29.445</v>
          </cell>
          <cell r="R20">
            <v>13.664999999999999</v>
          </cell>
          <cell r="S20">
            <v>0</v>
          </cell>
          <cell r="T20">
            <v>0</v>
          </cell>
          <cell r="U20">
            <v>0</v>
          </cell>
          <cell r="V20">
            <v>0</v>
          </cell>
          <cell r="W20">
            <v>43.11</v>
          </cell>
          <cell r="X20">
            <v>107.938</v>
          </cell>
          <cell r="Y20">
            <v>2979306.9</v>
          </cell>
          <cell r="Z20">
            <v>2343924.7256960003</v>
          </cell>
        </row>
        <row r="21">
          <cell r="D21">
            <v>30179498</v>
          </cell>
          <cell r="E21">
            <v>0</v>
          </cell>
          <cell r="F21">
            <v>30179498</v>
          </cell>
          <cell r="G21">
            <v>987</v>
          </cell>
          <cell r="H21">
            <v>26.992000000000001</v>
          </cell>
          <cell r="I21">
            <v>5.1909999999999998</v>
          </cell>
          <cell r="J21">
            <v>21.800999999999998</v>
          </cell>
          <cell r="K21">
            <v>0</v>
          </cell>
          <cell r="L21">
            <v>0</v>
          </cell>
          <cell r="M21">
            <v>0</v>
          </cell>
          <cell r="N21">
            <v>0</v>
          </cell>
          <cell r="O21">
            <v>0</v>
          </cell>
          <cell r="P21">
            <v>3.3000000000000002E-2</v>
          </cell>
          <cell r="Q21">
            <v>21.834</v>
          </cell>
          <cell r="R21">
            <v>0</v>
          </cell>
          <cell r="S21">
            <v>0</v>
          </cell>
          <cell r="T21">
            <v>0</v>
          </cell>
          <cell r="U21">
            <v>0</v>
          </cell>
          <cell r="V21">
            <v>0</v>
          </cell>
          <cell r="W21">
            <v>21.834</v>
          </cell>
          <cell r="X21">
            <v>36.712000000000003</v>
          </cell>
          <cell r="Y21">
            <v>1143852.3600000001</v>
          </cell>
          <cell r="Z21">
            <v>437352.88410200004</v>
          </cell>
        </row>
        <row r="22">
          <cell r="D22">
            <v>33085059</v>
          </cell>
          <cell r="E22">
            <v>0</v>
          </cell>
          <cell r="F22">
            <v>33085059</v>
          </cell>
          <cell r="G22">
            <v>0</v>
          </cell>
          <cell r="H22">
            <v>27</v>
          </cell>
          <cell r="I22">
            <v>0</v>
          </cell>
          <cell r="J22">
            <v>27</v>
          </cell>
          <cell r="K22">
            <v>0</v>
          </cell>
          <cell r="L22">
            <v>0</v>
          </cell>
          <cell r="M22">
            <v>0</v>
          </cell>
          <cell r="N22">
            <v>0</v>
          </cell>
          <cell r="O22">
            <v>0</v>
          </cell>
          <cell r="P22">
            <v>0</v>
          </cell>
          <cell r="Q22">
            <v>27</v>
          </cell>
          <cell r="R22">
            <v>11.445</v>
          </cell>
          <cell r="S22">
            <v>0</v>
          </cell>
          <cell r="T22">
            <v>0</v>
          </cell>
          <cell r="U22">
            <v>0</v>
          </cell>
          <cell r="V22">
            <v>0</v>
          </cell>
          <cell r="W22">
            <v>38.445</v>
          </cell>
          <cell r="X22">
            <v>110.672</v>
          </cell>
          <cell r="Y22">
            <v>3871378.83</v>
          </cell>
          <cell r="Z22">
            <v>2891879.4470000002</v>
          </cell>
        </row>
        <row r="23">
          <cell r="D23">
            <v>6603495</v>
          </cell>
          <cell r="E23">
            <v>0</v>
          </cell>
          <cell r="F23">
            <v>6603495</v>
          </cell>
          <cell r="G23">
            <v>2</v>
          </cell>
          <cell r="H23">
            <v>27</v>
          </cell>
          <cell r="I23">
            <v>0</v>
          </cell>
          <cell r="J23">
            <v>27</v>
          </cell>
          <cell r="K23">
            <v>0</v>
          </cell>
          <cell r="L23">
            <v>0</v>
          </cell>
          <cell r="M23">
            <v>0</v>
          </cell>
          <cell r="N23">
            <v>0</v>
          </cell>
          <cell r="O23">
            <v>0</v>
          </cell>
          <cell r="P23">
            <v>0</v>
          </cell>
          <cell r="Q23">
            <v>27</v>
          </cell>
          <cell r="R23">
            <v>0</v>
          </cell>
          <cell r="S23">
            <v>0</v>
          </cell>
          <cell r="T23">
            <v>0</v>
          </cell>
          <cell r="U23">
            <v>0</v>
          </cell>
          <cell r="V23">
            <v>0</v>
          </cell>
          <cell r="W23">
            <v>27</v>
          </cell>
          <cell r="X23">
            <v>373.803</v>
          </cell>
          <cell r="Y23">
            <v>3380704.42</v>
          </cell>
          <cell r="Z23">
            <v>3183100.9049999998</v>
          </cell>
        </row>
        <row r="24">
          <cell r="D24">
            <v>18194492</v>
          </cell>
          <cell r="E24">
            <v>0</v>
          </cell>
          <cell r="F24">
            <v>18194492</v>
          </cell>
          <cell r="G24">
            <v>426</v>
          </cell>
          <cell r="H24">
            <v>18.3</v>
          </cell>
          <cell r="I24">
            <v>4.5439999999999996</v>
          </cell>
          <cell r="J24">
            <v>13.756</v>
          </cell>
          <cell r="K24">
            <v>0</v>
          </cell>
          <cell r="L24">
            <v>0</v>
          </cell>
          <cell r="M24">
            <v>0.255</v>
          </cell>
          <cell r="N24">
            <v>0</v>
          </cell>
          <cell r="O24">
            <v>8.2439999999999998</v>
          </cell>
          <cell r="P24">
            <v>2.3E-2</v>
          </cell>
          <cell r="Q24">
            <v>22.277999999999999</v>
          </cell>
          <cell r="R24">
            <v>0</v>
          </cell>
          <cell r="S24">
            <v>0</v>
          </cell>
          <cell r="T24">
            <v>0</v>
          </cell>
          <cell r="U24">
            <v>0</v>
          </cell>
          <cell r="V24">
            <v>0</v>
          </cell>
          <cell r="W24">
            <v>22.277999999999999</v>
          </cell>
          <cell r="X24">
            <v>56.634999999999998</v>
          </cell>
          <cell r="Y24">
            <v>1043536.72</v>
          </cell>
          <cell r="Z24">
            <v>771099.01804799994</v>
          </cell>
        </row>
        <row r="25">
          <cell r="D25">
            <v>71889110</v>
          </cell>
          <cell r="E25">
            <v>0</v>
          </cell>
          <cell r="F25">
            <v>71889110</v>
          </cell>
          <cell r="G25">
            <v>4173.2</v>
          </cell>
          <cell r="H25">
            <v>27</v>
          </cell>
          <cell r="I25">
            <v>4.5019999999999998</v>
          </cell>
          <cell r="J25">
            <v>22.498000000000001</v>
          </cell>
          <cell r="K25">
            <v>0</v>
          </cell>
          <cell r="L25">
            <v>0</v>
          </cell>
          <cell r="M25">
            <v>0</v>
          </cell>
          <cell r="N25">
            <v>0</v>
          </cell>
          <cell r="O25">
            <v>0</v>
          </cell>
          <cell r="P25">
            <v>0</v>
          </cell>
          <cell r="Q25">
            <v>22.498000000000001</v>
          </cell>
          <cell r="R25">
            <v>0</v>
          </cell>
          <cell r="S25">
            <v>0</v>
          </cell>
          <cell r="T25">
            <v>0</v>
          </cell>
          <cell r="U25">
            <v>0</v>
          </cell>
          <cell r="V25">
            <v>0</v>
          </cell>
          <cell r="W25">
            <v>22.498000000000001</v>
          </cell>
          <cell r="X25">
            <v>112.17100000000001</v>
          </cell>
          <cell r="Y25">
            <v>10390536.539999999</v>
          </cell>
          <cell r="Z25">
            <v>8636166.3732199986</v>
          </cell>
        </row>
        <row r="26">
          <cell r="D26">
            <v>26537330</v>
          </cell>
          <cell r="E26">
            <v>0</v>
          </cell>
          <cell r="F26">
            <v>26537330</v>
          </cell>
          <cell r="G26">
            <v>1990</v>
          </cell>
          <cell r="H26">
            <v>23.59</v>
          </cell>
          <cell r="I26">
            <v>1.675</v>
          </cell>
          <cell r="J26">
            <v>21.914999999999999</v>
          </cell>
          <cell r="K26">
            <v>0</v>
          </cell>
          <cell r="L26">
            <v>0</v>
          </cell>
          <cell r="M26">
            <v>4.74</v>
          </cell>
          <cell r="N26">
            <v>0</v>
          </cell>
          <cell r="O26">
            <v>0</v>
          </cell>
          <cell r="P26">
            <v>7.4999999999999997E-2</v>
          </cell>
          <cell r="Q26">
            <v>26.73</v>
          </cell>
          <cell r="R26">
            <v>0</v>
          </cell>
          <cell r="S26">
            <v>0</v>
          </cell>
          <cell r="T26">
            <v>0</v>
          </cell>
          <cell r="U26">
            <v>0</v>
          </cell>
          <cell r="V26">
            <v>0</v>
          </cell>
          <cell r="W26">
            <v>26.73</v>
          </cell>
          <cell r="X26">
            <v>125.68899999999999</v>
          </cell>
          <cell r="Y26">
            <v>3476506.82</v>
          </cell>
          <cell r="Z26">
            <v>2834868.1830500001</v>
          </cell>
        </row>
        <row r="27">
          <cell r="D27">
            <v>6593531745</v>
          </cell>
          <cell r="E27">
            <v>494903204</v>
          </cell>
          <cell r="F27">
            <v>6098628541</v>
          </cell>
          <cell r="G27">
            <v>1661305.2</v>
          </cell>
          <cell r="H27">
            <v>27</v>
          </cell>
          <cell r="I27">
            <v>0</v>
          </cell>
          <cell r="J27">
            <v>27</v>
          </cell>
          <cell r="K27">
            <v>0</v>
          </cell>
          <cell r="L27">
            <v>0</v>
          </cell>
          <cell r="M27">
            <v>0</v>
          </cell>
          <cell r="N27">
            <v>0</v>
          </cell>
          <cell r="O27">
            <v>13.238</v>
          </cell>
          <cell r="P27">
            <v>0.27200000000000002</v>
          </cell>
          <cell r="Q27">
            <v>40.51</v>
          </cell>
          <cell r="R27">
            <v>16.728000000000002</v>
          </cell>
          <cell r="S27">
            <v>0</v>
          </cell>
          <cell r="T27">
            <v>0</v>
          </cell>
          <cell r="U27">
            <v>0</v>
          </cell>
          <cell r="V27">
            <v>0</v>
          </cell>
          <cell r="W27">
            <v>57.238</v>
          </cell>
          <cell r="X27">
            <v>50.197000000000003</v>
          </cell>
          <cell r="Y27">
            <v>322659960.05000001</v>
          </cell>
          <cell r="Z27">
            <v>151585224.47300002</v>
          </cell>
        </row>
        <row r="28">
          <cell r="D28">
            <v>9685676989</v>
          </cell>
          <cell r="E28">
            <v>148175006</v>
          </cell>
          <cell r="F28">
            <v>9537501983</v>
          </cell>
          <cell r="G28">
            <v>1388766</v>
          </cell>
          <cell r="H28">
            <v>27</v>
          </cell>
          <cell r="I28">
            <v>0</v>
          </cell>
          <cell r="J28">
            <v>27</v>
          </cell>
          <cell r="K28">
            <v>0</v>
          </cell>
          <cell r="L28">
            <v>0</v>
          </cell>
          <cell r="M28">
            <v>0</v>
          </cell>
          <cell r="N28">
            <v>0</v>
          </cell>
          <cell r="O28">
            <v>8.4019999999999992</v>
          </cell>
          <cell r="P28">
            <v>0.14599999999999999</v>
          </cell>
          <cell r="Q28">
            <v>35.548000000000002</v>
          </cell>
          <cell r="R28">
            <v>7.7110000000000003</v>
          </cell>
          <cell r="S28">
            <v>0.76500000000000001</v>
          </cell>
          <cell r="T28">
            <v>0</v>
          </cell>
          <cell r="U28">
            <v>4</v>
          </cell>
          <cell r="V28">
            <v>0</v>
          </cell>
          <cell r="W28">
            <v>48.024000000000001</v>
          </cell>
          <cell r="X28">
            <v>28.071999999999999</v>
          </cell>
          <cell r="Y28">
            <v>294178064.91000003</v>
          </cell>
          <cell r="Z28">
            <v>25117730.309000015</v>
          </cell>
        </row>
        <row r="29">
          <cell r="D29">
            <v>408288230</v>
          </cell>
          <cell r="E29">
            <v>0</v>
          </cell>
          <cell r="F29">
            <v>408288230</v>
          </cell>
          <cell r="G29">
            <v>3623.27</v>
          </cell>
          <cell r="H29">
            <v>23.149000000000001</v>
          </cell>
          <cell r="I29">
            <v>4.1669999999999998</v>
          </cell>
          <cell r="J29">
            <v>18.981999999999999</v>
          </cell>
          <cell r="K29">
            <v>0</v>
          </cell>
          <cell r="L29">
            <v>0</v>
          </cell>
          <cell r="M29">
            <v>0</v>
          </cell>
          <cell r="N29">
            <v>0</v>
          </cell>
          <cell r="O29">
            <v>6.59</v>
          </cell>
          <cell r="P29">
            <v>0</v>
          </cell>
          <cell r="Q29">
            <v>25.571999999999999</v>
          </cell>
          <cell r="R29">
            <v>6.0279999999999996</v>
          </cell>
          <cell r="S29">
            <v>0</v>
          </cell>
          <cell r="T29">
            <v>0</v>
          </cell>
          <cell r="U29">
            <v>0</v>
          </cell>
          <cell r="V29">
            <v>0</v>
          </cell>
          <cell r="W29">
            <v>31.6</v>
          </cell>
          <cell r="X29">
            <v>22.533999999999999</v>
          </cell>
          <cell r="Y29">
            <v>10209953.390000001</v>
          </cell>
          <cell r="Z29">
            <v>1914720.9081400007</v>
          </cell>
        </row>
        <row r="30">
          <cell r="D30">
            <v>461108613</v>
          </cell>
          <cell r="E30">
            <v>0</v>
          </cell>
          <cell r="F30">
            <v>461108613</v>
          </cell>
          <cell r="G30">
            <v>9917</v>
          </cell>
          <cell r="H30">
            <v>21.951000000000001</v>
          </cell>
          <cell r="I30">
            <v>7.1</v>
          </cell>
          <cell r="J30">
            <v>17.693000000000001</v>
          </cell>
          <cell r="K30">
            <v>0</v>
          </cell>
          <cell r="L30">
            <v>0</v>
          </cell>
          <cell r="M30">
            <v>0</v>
          </cell>
          <cell r="N30">
            <v>0</v>
          </cell>
          <cell r="O30">
            <v>6.2670000000000003</v>
          </cell>
          <cell r="P30">
            <v>2.1999999999999999E-2</v>
          </cell>
          <cell r="Q30">
            <v>23.981999999999999</v>
          </cell>
          <cell r="R30">
            <v>4.2290000000000001</v>
          </cell>
          <cell r="S30">
            <v>0</v>
          </cell>
          <cell r="T30">
            <v>0</v>
          </cell>
          <cell r="U30">
            <v>0</v>
          </cell>
          <cell r="V30">
            <v>0</v>
          </cell>
          <cell r="W30">
            <v>28.210999999999999</v>
          </cell>
          <cell r="X30">
            <v>28.722999999999999</v>
          </cell>
          <cell r="Y30">
            <v>13067906.48</v>
          </cell>
          <cell r="Z30">
            <v>4246681.6201909995</v>
          </cell>
        </row>
        <row r="31">
          <cell r="D31">
            <v>52904224</v>
          </cell>
          <cell r="E31">
            <v>0</v>
          </cell>
          <cell r="F31">
            <v>52904224</v>
          </cell>
          <cell r="G31">
            <v>11427</v>
          </cell>
          <cell r="H31">
            <v>17.88</v>
          </cell>
          <cell r="I31">
            <v>7.0659999999999998</v>
          </cell>
          <cell r="J31">
            <v>10.814</v>
          </cell>
          <cell r="K31">
            <v>0</v>
          </cell>
          <cell r="L31">
            <v>0</v>
          </cell>
          <cell r="M31">
            <v>1.3879999999999999</v>
          </cell>
          <cell r="N31">
            <v>0</v>
          </cell>
          <cell r="O31">
            <v>6.6150000000000002</v>
          </cell>
          <cell r="P31">
            <v>0.216</v>
          </cell>
          <cell r="Q31">
            <v>19.033000000000001</v>
          </cell>
          <cell r="R31">
            <v>11.625</v>
          </cell>
          <cell r="S31">
            <v>0</v>
          </cell>
          <cell r="T31">
            <v>0</v>
          </cell>
          <cell r="U31">
            <v>0</v>
          </cell>
          <cell r="V31">
            <v>0</v>
          </cell>
          <cell r="W31">
            <v>30.658000000000001</v>
          </cell>
          <cell r="X31">
            <v>34.302</v>
          </cell>
          <cell r="Y31">
            <v>1883590.53</v>
          </cell>
          <cell r="Z31">
            <v>1265657.9516640001</v>
          </cell>
        </row>
        <row r="32">
          <cell r="D32">
            <v>98826061</v>
          </cell>
          <cell r="E32">
            <v>0</v>
          </cell>
          <cell r="F32">
            <v>98826061</v>
          </cell>
          <cell r="G32">
            <v>7030</v>
          </cell>
          <cell r="H32">
            <v>15.558</v>
          </cell>
          <cell r="I32">
            <v>5.8840000000000003</v>
          </cell>
          <cell r="J32">
            <v>9.6739999999999995</v>
          </cell>
          <cell r="K32">
            <v>0</v>
          </cell>
          <cell r="L32">
            <v>0</v>
          </cell>
          <cell r="M32">
            <v>0</v>
          </cell>
          <cell r="N32">
            <v>0</v>
          </cell>
          <cell r="O32">
            <v>8.3049999999999997</v>
          </cell>
          <cell r="P32">
            <v>7.0999999999999994E-2</v>
          </cell>
          <cell r="Q32">
            <v>18.05</v>
          </cell>
          <cell r="R32">
            <v>0</v>
          </cell>
          <cell r="S32">
            <v>0</v>
          </cell>
          <cell r="T32">
            <v>0</v>
          </cell>
          <cell r="U32">
            <v>0</v>
          </cell>
          <cell r="V32">
            <v>0</v>
          </cell>
          <cell r="W32">
            <v>18.05</v>
          </cell>
          <cell r="X32">
            <v>30.581</v>
          </cell>
          <cell r="Y32">
            <v>3083693.7</v>
          </cell>
          <cell r="Z32">
            <v>2045822.135886</v>
          </cell>
        </row>
        <row r="33">
          <cell r="D33">
            <v>327601230</v>
          </cell>
          <cell r="E33">
            <v>0</v>
          </cell>
          <cell r="F33">
            <v>327601230</v>
          </cell>
          <cell r="G33">
            <v>3278.78</v>
          </cell>
          <cell r="H33">
            <v>12.484999999999999</v>
          </cell>
          <cell r="I33">
            <v>0</v>
          </cell>
          <cell r="J33">
            <v>12.484999999999999</v>
          </cell>
          <cell r="K33">
            <v>0</v>
          </cell>
          <cell r="L33">
            <v>0</v>
          </cell>
          <cell r="M33">
            <v>0</v>
          </cell>
          <cell r="N33">
            <v>0</v>
          </cell>
          <cell r="O33">
            <v>8.5579999999999998</v>
          </cell>
          <cell r="P33">
            <v>0.01</v>
          </cell>
          <cell r="Q33">
            <v>21.053000000000001</v>
          </cell>
          <cell r="R33">
            <v>7.835</v>
          </cell>
          <cell r="S33">
            <v>0</v>
          </cell>
          <cell r="T33">
            <v>0</v>
          </cell>
          <cell r="U33">
            <v>0</v>
          </cell>
          <cell r="V33">
            <v>0</v>
          </cell>
          <cell r="W33">
            <v>28.888000000000002</v>
          </cell>
          <cell r="X33">
            <v>20.96</v>
          </cell>
          <cell r="Y33">
            <v>7316218.5999999996</v>
          </cell>
          <cell r="Z33">
            <v>2921697.99345</v>
          </cell>
        </row>
        <row r="34">
          <cell r="D34">
            <v>39025522</v>
          </cell>
          <cell r="E34">
            <v>0</v>
          </cell>
          <cell r="F34">
            <v>39025522</v>
          </cell>
          <cell r="G34">
            <v>2401</v>
          </cell>
          <cell r="H34">
            <v>23.405999999999999</v>
          </cell>
          <cell r="I34">
            <v>3.2829999999999999</v>
          </cell>
          <cell r="J34">
            <v>20.123000000000001</v>
          </cell>
          <cell r="K34">
            <v>0</v>
          </cell>
          <cell r="L34">
            <v>0</v>
          </cell>
          <cell r="M34">
            <v>4.8650000000000002</v>
          </cell>
          <cell r="N34">
            <v>0</v>
          </cell>
          <cell r="O34">
            <v>0</v>
          </cell>
          <cell r="P34">
            <v>6.2E-2</v>
          </cell>
          <cell r="Q34">
            <v>25.05</v>
          </cell>
          <cell r="R34">
            <v>10.249000000000001</v>
          </cell>
          <cell r="S34">
            <v>0</v>
          </cell>
          <cell r="T34">
            <v>0</v>
          </cell>
          <cell r="U34">
            <v>0</v>
          </cell>
          <cell r="V34">
            <v>0</v>
          </cell>
          <cell r="W34">
            <v>35.298999999999999</v>
          </cell>
          <cell r="X34">
            <v>249.92400000000001</v>
          </cell>
          <cell r="Y34">
            <v>10723310.73</v>
          </cell>
          <cell r="Z34">
            <v>9775253.6507940013</v>
          </cell>
        </row>
        <row r="35">
          <cell r="D35">
            <v>10045015</v>
          </cell>
          <cell r="E35">
            <v>0</v>
          </cell>
          <cell r="F35">
            <v>10045015</v>
          </cell>
          <cell r="G35">
            <v>2170</v>
          </cell>
          <cell r="H35">
            <v>27</v>
          </cell>
          <cell r="I35">
            <v>0</v>
          </cell>
          <cell r="J35">
            <v>27</v>
          </cell>
          <cell r="K35">
            <v>0</v>
          </cell>
          <cell r="L35">
            <v>0</v>
          </cell>
          <cell r="M35">
            <v>0</v>
          </cell>
          <cell r="N35">
            <v>0</v>
          </cell>
          <cell r="O35">
            <v>0</v>
          </cell>
          <cell r="P35">
            <v>0.22600000000000001</v>
          </cell>
          <cell r="Q35">
            <v>27.225999999999999</v>
          </cell>
          <cell r="R35">
            <v>8.86</v>
          </cell>
          <cell r="S35">
            <v>0</v>
          </cell>
          <cell r="T35">
            <v>0</v>
          </cell>
          <cell r="U35">
            <v>0</v>
          </cell>
          <cell r="V35">
            <v>0</v>
          </cell>
          <cell r="W35">
            <v>36.085999999999999</v>
          </cell>
          <cell r="X35">
            <v>414.90300000000002</v>
          </cell>
          <cell r="Y35">
            <v>4882182.82</v>
          </cell>
          <cell r="Z35">
            <v>4560894.3950000005</v>
          </cell>
        </row>
        <row r="36">
          <cell r="D36">
            <v>34298535</v>
          </cell>
          <cell r="E36">
            <v>0</v>
          </cell>
          <cell r="F36">
            <v>34298535</v>
          </cell>
          <cell r="G36">
            <v>5473</v>
          </cell>
          <cell r="H36">
            <v>27</v>
          </cell>
          <cell r="I36">
            <v>5.2119999999999997</v>
          </cell>
          <cell r="J36">
            <v>21.788</v>
          </cell>
          <cell r="K36">
            <v>0</v>
          </cell>
          <cell r="L36">
            <v>0</v>
          </cell>
          <cell r="M36">
            <v>0</v>
          </cell>
          <cell r="N36">
            <v>0</v>
          </cell>
          <cell r="O36">
            <v>0</v>
          </cell>
          <cell r="P36">
            <v>0.16</v>
          </cell>
          <cell r="Q36">
            <v>21.948</v>
          </cell>
          <cell r="R36">
            <v>11.954000000000001</v>
          </cell>
          <cell r="S36">
            <v>0</v>
          </cell>
          <cell r="T36">
            <v>0</v>
          </cell>
          <cell r="U36">
            <v>0</v>
          </cell>
          <cell r="V36">
            <v>0</v>
          </cell>
          <cell r="W36">
            <v>33.902000000000001</v>
          </cell>
          <cell r="X36">
            <v>74.701999999999998</v>
          </cell>
          <cell r="Y36">
            <v>3082783.02</v>
          </cell>
          <cell r="Z36">
            <v>2214680.6094200001</v>
          </cell>
        </row>
        <row r="37">
          <cell r="D37">
            <v>66962002</v>
          </cell>
          <cell r="E37">
            <v>0</v>
          </cell>
          <cell r="F37">
            <v>66962002</v>
          </cell>
          <cell r="G37">
            <v>17209</v>
          </cell>
          <cell r="H37">
            <v>27</v>
          </cell>
          <cell r="I37">
            <v>7.72</v>
          </cell>
          <cell r="J37">
            <v>19.28</v>
          </cell>
          <cell r="K37">
            <v>0</v>
          </cell>
          <cell r="L37">
            <v>0</v>
          </cell>
          <cell r="M37">
            <v>0</v>
          </cell>
          <cell r="N37">
            <v>0</v>
          </cell>
          <cell r="O37">
            <v>0</v>
          </cell>
          <cell r="P37">
            <v>0.25700000000000001</v>
          </cell>
          <cell r="Q37">
            <v>19.536999999999999</v>
          </cell>
          <cell r="R37">
            <v>6.9560000000000004</v>
          </cell>
          <cell r="S37">
            <v>0</v>
          </cell>
          <cell r="T37">
            <v>0</v>
          </cell>
          <cell r="U37">
            <v>0</v>
          </cell>
          <cell r="V37">
            <v>0</v>
          </cell>
          <cell r="W37">
            <v>26.492999999999999</v>
          </cell>
          <cell r="X37">
            <v>46.107999999999997</v>
          </cell>
          <cell r="Y37">
            <v>3201326.76</v>
          </cell>
          <cell r="Z37">
            <v>1839978.8014399998</v>
          </cell>
        </row>
        <row r="38">
          <cell r="D38">
            <v>89325595</v>
          </cell>
          <cell r="E38">
            <v>0</v>
          </cell>
          <cell r="F38">
            <v>89325595</v>
          </cell>
          <cell r="G38">
            <v>58955</v>
          </cell>
          <cell r="H38">
            <v>27</v>
          </cell>
          <cell r="I38">
            <v>0</v>
          </cell>
          <cell r="J38">
            <v>27</v>
          </cell>
          <cell r="K38">
            <v>0</v>
          </cell>
          <cell r="L38">
            <v>0</v>
          </cell>
          <cell r="M38">
            <v>0</v>
          </cell>
          <cell r="N38">
            <v>0</v>
          </cell>
          <cell r="O38">
            <v>5.0999999999999996</v>
          </cell>
          <cell r="P38">
            <v>0.66</v>
          </cell>
          <cell r="Q38">
            <v>32.76</v>
          </cell>
          <cell r="R38">
            <v>11.475</v>
          </cell>
          <cell r="S38">
            <v>0</v>
          </cell>
          <cell r="T38">
            <v>0</v>
          </cell>
          <cell r="U38">
            <v>0</v>
          </cell>
          <cell r="V38">
            <v>0</v>
          </cell>
          <cell r="W38">
            <v>44.234999999999999</v>
          </cell>
          <cell r="X38">
            <v>43.061999999999998</v>
          </cell>
          <cell r="Y38">
            <v>4056009.9</v>
          </cell>
          <cell r="Z38">
            <v>1551478.325</v>
          </cell>
        </row>
        <row r="39">
          <cell r="D39">
            <v>57646688</v>
          </cell>
          <cell r="E39">
            <v>0</v>
          </cell>
          <cell r="F39">
            <v>57646688</v>
          </cell>
          <cell r="G39">
            <v>0</v>
          </cell>
          <cell r="H39">
            <v>27</v>
          </cell>
          <cell r="I39">
            <v>7.5510000000000002</v>
          </cell>
          <cell r="J39">
            <v>19.449000000000002</v>
          </cell>
          <cell r="K39">
            <v>0</v>
          </cell>
          <cell r="L39">
            <v>0</v>
          </cell>
          <cell r="M39">
            <v>0</v>
          </cell>
          <cell r="N39">
            <v>0</v>
          </cell>
          <cell r="O39">
            <v>6</v>
          </cell>
          <cell r="P39">
            <v>0</v>
          </cell>
          <cell r="Q39">
            <v>25.449000000000002</v>
          </cell>
          <cell r="R39">
            <v>0</v>
          </cell>
          <cell r="S39">
            <v>0</v>
          </cell>
          <cell r="T39">
            <v>0</v>
          </cell>
          <cell r="U39">
            <v>0</v>
          </cell>
          <cell r="V39">
            <v>0</v>
          </cell>
          <cell r="W39">
            <v>25.449000000000002</v>
          </cell>
          <cell r="X39">
            <v>80.918999999999997</v>
          </cell>
          <cell r="Y39">
            <v>4918353.97</v>
          </cell>
          <cell r="Z39">
            <v>3688429.1250879997</v>
          </cell>
        </row>
        <row r="40">
          <cell r="D40">
            <v>149275444</v>
          </cell>
          <cell r="E40">
            <v>0</v>
          </cell>
          <cell r="F40">
            <v>149275444</v>
          </cell>
          <cell r="G40">
            <v>149</v>
          </cell>
          <cell r="H40">
            <v>27</v>
          </cell>
          <cell r="I40">
            <v>1.097</v>
          </cell>
          <cell r="J40">
            <v>25.902999999999999</v>
          </cell>
          <cell r="K40">
            <v>0</v>
          </cell>
          <cell r="L40">
            <v>0</v>
          </cell>
          <cell r="M40">
            <v>0</v>
          </cell>
          <cell r="N40">
            <v>0</v>
          </cell>
          <cell r="O40">
            <v>0</v>
          </cell>
          <cell r="P40">
            <v>1E-3</v>
          </cell>
          <cell r="Q40">
            <v>25.904</v>
          </cell>
          <cell r="R40">
            <v>2.0099999999999998</v>
          </cell>
          <cell r="S40">
            <v>0</v>
          </cell>
          <cell r="T40">
            <v>0</v>
          </cell>
          <cell r="U40">
            <v>0</v>
          </cell>
          <cell r="V40">
            <v>0</v>
          </cell>
          <cell r="W40">
            <v>27.914000000000001</v>
          </cell>
          <cell r="X40">
            <v>25.754000000000001</v>
          </cell>
          <cell r="Y40">
            <v>4524592.1900000004</v>
          </cell>
          <cell r="Z40">
            <v>267685.0140680006</v>
          </cell>
        </row>
        <row r="41">
          <cell r="D41">
            <v>506587950</v>
          </cell>
          <cell r="E41">
            <v>655768</v>
          </cell>
          <cell r="F41">
            <v>505932182</v>
          </cell>
          <cell r="G41">
            <v>18061</v>
          </cell>
          <cell r="H41">
            <v>27</v>
          </cell>
          <cell r="I41">
            <v>1.3440000000000001</v>
          </cell>
          <cell r="J41">
            <v>25.655999999999999</v>
          </cell>
          <cell r="K41">
            <v>0</v>
          </cell>
          <cell r="L41">
            <v>0</v>
          </cell>
          <cell r="M41">
            <v>0</v>
          </cell>
          <cell r="N41">
            <v>0</v>
          </cell>
          <cell r="O41">
            <v>0</v>
          </cell>
          <cell r="P41">
            <v>3.5999999999999997E-2</v>
          </cell>
          <cell r="Q41">
            <v>25.692</v>
          </cell>
          <cell r="R41">
            <v>3.9239999999999999</v>
          </cell>
          <cell r="S41">
            <v>0</v>
          </cell>
          <cell r="T41">
            <v>0</v>
          </cell>
          <cell r="U41">
            <v>0</v>
          </cell>
          <cell r="V41">
            <v>0</v>
          </cell>
          <cell r="W41">
            <v>29.616</v>
          </cell>
          <cell r="X41">
            <v>83.001999999999995</v>
          </cell>
          <cell r="Y41">
            <v>46543916.140000001</v>
          </cell>
          <cell r="Z41">
            <v>31983046.658607997</v>
          </cell>
        </row>
        <row r="42">
          <cell r="D42">
            <v>26952552320</v>
          </cell>
          <cell r="E42">
            <v>1773179409</v>
          </cell>
          <cell r="F42">
            <v>25179372911</v>
          </cell>
          <cell r="G42">
            <v>10700425</v>
          </cell>
          <cell r="H42">
            <v>27</v>
          </cell>
          <cell r="I42">
            <v>0</v>
          </cell>
          <cell r="J42">
            <v>27</v>
          </cell>
          <cell r="K42">
            <v>0</v>
          </cell>
          <cell r="L42">
            <v>0</v>
          </cell>
          <cell r="M42">
            <v>0</v>
          </cell>
          <cell r="N42">
            <v>0</v>
          </cell>
          <cell r="O42">
            <v>10.27</v>
          </cell>
          <cell r="P42">
            <v>0.42499999999999999</v>
          </cell>
          <cell r="Q42">
            <v>37.695</v>
          </cell>
          <cell r="R42">
            <v>9.843</v>
          </cell>
          <cell r="S42">
            <v>0</v>
          </cell>
          <cell r="T42">
            <v>3.173</v>
          </cell>
          <cell r="U42">
            <v>0</v>
          </cell>
          <cell r="V42">
            <v>0</v>
          </cell>
          <cell r="W42">
            <v>50.710999999999999</v>
          </cell>
          <cell r="X42">
            <v>34.933</v>
          </cell>
          <cell r="Y42">
            <v>931535279.69000006</v>
          </cell>
          <cell r="Z42">
            <v>216156220.60300004</v>
          </cell>
        </row>
        <row r="43">
          <cell r="D43">
            <v>113920489</v>
          </cell>
          <cell r="E43">
            <v>0</v>
          </cell>
          <cell r="F43">
            <v>113920489</v>
          </cell>
          <cell r="G43">
            <v>2110</v>
          </cell>
          <cell r="H43">
            <v>18.684999999999999</v>
          </cell>
          <cell r="I43">
            <v>0.126</v>
          </cell>
          <cell r="J43">
            <v>18.559000000000001</v>
          </cell>
          <cell r="K43">
            <v>0</v>
          </cell>
          <cell r="L43">
            <v>0</v>
          </cell>
          <cell r="M43">
            <v>0</v>
          </cell>
          <cell r="N43">
            <v>0</v>
          </cell>
          <cell r="O43">
            <v>3</v>
          </cell>
          <cell r="P43">
            <v>1.9E-2</v>
          </cell>
          <cell r="Q43">
            <v>21.577999999999999</v>
          </cell>
          <cell r="R43">
            <v>7.593</v>
          </cell>
          <cell r="S43">
            <v>0</v>
          </cell>
          <cell r="T43">
            <v>0</v>
          </cell>
          <cell r="U43">
            <v>0</v>
          </cell>
          <cell r="V43">
            <v>0</v>
          </cell>
          <cell r="W43">
            <v>29.170999999999999</v>
          </cell>
          <cell r="X43">
            <v>33.027999999999999</v>
          </cell>
          <cell r="Y43">
            <v>3893302.56</v>
          </cell>
          <cell r="Z43">
            <v>1687216.444649</v>
          </cell>
        </row>
        <row r="44">
          <cell r="D44">
            <v>10459497895</v>
          </cell>
          <cell r="E44">
            <v>98510571</v>
          </cell>
          <cell r="F44">
            <v>10360987324</v>
          </cell>
          <cell r="G44">
            <v>2535298.58</v>
          </cell>
          <cell r="H44">
            <v>27</v>
          </cell>
          <cell r="I44">
            <v>0</v>
          </cell>
          <cell r="J44">
            <v>27</v>
          </cell>
          <cell r="K44">
            <v>0</v>
          </cell>
          <cell r="L44">
            <v>0</v>
          </cell>
          <cell r="M44">
            <v>0</v>
          </cell>
          <cell r="N44">
            <v>0</v>
          </cell>
          <cell r="O44">
            <v>13.484999999999999</v>
          </cell>
          <cell r="P44">
            <v>0.245</v>
          </cell>
          <cell r="Q44">
            <v>40.729999999999997</v>
          </cell>
          <cell r="R44">
            <v>5.2039999999999997</v>
          </cell>
          <cell r="S44">
            <v>0</v>
          </cell>
          <cell r="T44">
            <v>0</v>
          </cell>
          <cell r="U44">
            <v>0</v>
          </cell>
          <cell r="V44">
            <v>0</v>
          </cell>
          <cell r="W44">
            <v>45.933999999999997</v>
          </cell>
          <cell r="X44">
            <v>59.542000000000002</v>
          </cell>
          <cell r="Y44">
            <v>632307388.16200006</v>
          </cell>
          <cell r="Z44">
            <v>331935821.19399995</v>
          </cell>
        </row>
        <row r="45">
          <cell r="D45">
            <v>4762708440</v>
          </cell>
          <cell r="E45">
            <v>182628230</v>
          </cell>
          <cell r="F45">
            <v>4580080210</v>
          </cell>
          <cell r="G45">
            <v>129868.81</v>
          </cell>
          <cell r="H45">
            <v>12.138</v>
          </cell>
          <cell r="I45">
            <v>0</v>
          </cell>
          <cell r="J45">
            <v>12.138</v>
          </cell>
          <cell r="K45">
            <v>0</v>
          </cell>
          <cell r="L45">
            <v>0</v>
          </cell>
          <cell r="M45">
            <v>0.46200000000000002</v>
          </cell>
          <cell r="N45">
            <v>0</v>
          </cell>
          <cell r="O45">
            <v>3.512</v>
          </cell>
          <cell r="P45">
            <v>2.8000000000000001E-2</v>
          </cell>
          <cell r="Q45">
            <v>16.14</v>
          </cell>
          <cell r="R45">
            <v>5.9589999999999996</v>
          </cell>
          <cell r="S45">
            <v>0.218</v>
          </cell>
          <cell r="T45">
            <v>0</v>
          </cell>
          <cell r="U45">
            <v>0</v>
          </cell>
          <cell r="V45">
            <v>0</v>
          </cell>
          <cell r="W45">
            <v>22.317</v>
          </cell>
          <cell r="X45">
            <v>15.615</v>
          </cell>
          <cell r="Y45">
            <v>71249343.34799999</v>
          </cell>
          <cell r="Z45">
            <v>13287338.909019999</v>
          </cell>
        </row>
        <row r="46">
          <cell r="D46">
            <v>367330061</v>
          </cell>
          <cell r="E46">
            <v>0</v>
          </cell>
          <cell r="F46">
            <v>367330061</v>
          </cell>
          <cell r="G46">
            <v>8815.24</v>
          </cell>
          <cell r="H46">
            <v>27</v>
          </cell>
          <cell r="I46">
            <v>0</v>
          </cell>
          <cell r="J46">
            <v>27</v>
          </cell>
          <cell r="K46">
            <v>0</v>
          </cell>
          <cell r="L46">
            <v>0</v>
          </cell>
          <cell r="M46">
            <v>0</v>
          </cell>
          <cell r="N46">
            <v>0</v>
          </cell>
          <cell r="O46">
            <v>4.3289999999999997</v>
          </cell>
          <cell r="P46">
            <v>2.4E-2</v>
          </cell>
          <cell r="Q46">
            <v>31.353000000000002</v>
          </cell>
          <cell r="R46">
            <v>0</v>
          </cell>
          <cell r="S46">
            <v>0</v>
          </cell>
          <cell r="T46">
            <v>0</v>
          </cell>
          <cell r="U46">
            <v>0</v>
          </cell>
          <cell r="V46">
            <v>0</v>
          </cell>
          <cell r="W46">
            <v>31.353000000000002</v>
          </cell>
          <cell r="X46">
            <v>61.298000000000002</v>
          </cell>
          <cell r="Y46">
            <v>24494571.780000001</v>
          </cell>
          <cell r="Z46">
            <v>13476549.513</v>
          </cell>
        </row>
        <row r="47">
          <cell r="D47">
            <v>67234108</v>
          </cell>
          <cell r="E47">
            <v>0</v>
          </cell>
          <cell r="F47">
            <v>67234108</v>
          </cell>
          <cell r="G47">
            <v>4451.4799999999996</v>
          </cell>
          <cell r="H47">
            <v>27</v>
          </cell>
          <cell r="I47">
            <v>4.8120000000000003</v>
          </cell>
          <cell r="J47">
            <v>22.187999999999999</v>
          </cell>
          <cell r="K47">
            <v>0</v>
          </cell>
          <cell r="L47">
            <v>0</v>
          </cell>
          <cell r="M47">
            <v>0</v>
          </cell>
          <cell r="N47">
            <v>0</v>
          </cell>
          <cell r="O47">
            <v>0</v>
          </cell>
          <cell r="P47">
            <v>6.6000000000000003E-2</v>
          </cell>
          <cell r="Q47">
            <v>22.254000000000001</v>
          </cell>
          <cell r="R47">
            <v>0</v>
          </cell>
          <cell r="S47">
            <v>0</v>
          </cell>
          <cell r="T47">
            <v>0</v>
          </cell>
          <cell r="U47">
            <v>0</v>
          </cell>
          <cell r="V47">
            <v>0</v>
          </cell>
          <cell r="W47">
            <v>22.254000000000001</v>
          </cell>
          <cell r="X47">
            <v>58.634999999999998</v>
          </cell>
          <cell r="Y47">
            <v>4345187.4000000004</v>
          </cell>
          <cell r="Z47">
            <v>2684858.4416960008</v>
          </cell>
        </row>
        <row r="48">
          <cell r="D48">
            <v>43488050</v>
          </cell>
          <cell r="E48">
            <v>0</v>
          </cell>
          <cell r="F48">
            <v>43488050</v>
          </cell>
          <cell r="G48">
            <v>1714.01</v>
          </cell>
          <cell r="H48">
            <v>27</v>
          </cell>
          <cell r="I48">
            <v>0</v>
          </cell>
          <cell r="J48">
            <v>27</v>
          </cell>
          <cell r="K48">
            <v>0</v>
          </cell>
          <cell r="L48">
            <v>0</v>
          </cell>
          <cell r="M48">
            <v>0</v>
          </cell>
          <cell r="N48">
            <v>0</v>
          </cell>
          <cell r="O48">
            <v>0</v>
          </cell>
          <cell r="P48">
            <v>3.9E-2</v>
          </cell>
          <cell r="Q48">
            <v>27.039000000000001</v>
          </cell>
          <cell r="R48">
            <v>4.577</v>
          </cell>
          <cell r="S48">
            <v>0</v>
          </cell>
          <cell r="T48">
            <v>0</v>
          </cell>
          <cell r="U48">
            <v>0</v>
          </cell>
          <cell r="V48">
            <v>0</v>
          </cell>
          <cell r="W48">
            <v>31.616</v>
          </cell>
          <cell r="X48">
            <v>104.253</v>
          </cell>
          <cell r="Y48">
            <v>4601232.26</v>
          </cell>
          <cell r="Z48">
            <v>3258296.5399999996</v>
          </cell>
        </row>
        <row r="49">
          <cell r="D49">
            <v>36779971</v>
          </cell>
          <cell r="E49">
            <v>0</v>
          </cell>
          <cell r="F49">
            <v>36779971</v>
          </cell>
          <cell r="G49">
            <v>3035</v>
          </cell>
          <cell r="H49">
            <v>24.431000000000001</v>
          </cell>
          <cell r="I49">
            <v>0.83499999999999996</v>
          </cell>
          <cell r="J49">
            <v>23.596</v>
          </cell>
          <cell r="K49">
            <v>0</v>
          </cell>
          <cell r="L49">
            <v>0</v>
          </cell>
          <cell r="M49">
            <v>0</v>
          </cell>
          <cell r="N49">
            <v>0</v>
          </cell>
          <cell r="O49">
            <v>0</v>
          </cell>
          <cell r="P49">
            <v>8.3000000000000004E-2</v>
          </cell>
          <cell r="Q49">
            <v>23.678999999999998</v>
          </cell>
          <cell r="R49">
            <v>5.4119999999999999</v>
          </cell>
          <cell r="S49">
            <v>0</v>
          </cell>
          <cell r="T49">
            <v>0</v>
          </cell>
          <cell r="U49">
            <v>0</v>
          </cell>
          <cell r="V49">
            <v>0</v>
          </cell>
          <cell r="W49">
            <v>29.091000000000001</v>
          </cell>
          <cell r="X49">
            <v>99.86</v>
          </cell>
          <cell r="Y49">
            <v>4028531.57</v>
          </cell>
          <cell r="Z49">
            <v>3063970.524284</v>
          </cell>
        </row>
        <row r="50">
          <cell r="D50">
            <v>29731915</v>
          </cell>
          <cell r="E50">
            <v>0</v>
          </cell>
          <cell r="F50">
            <v>29731915</v>
          </cell>
          <cell r="G50">
            <v>481.71</v>
          </cell>
          <cell r="H50">
            <v>27</v>
          </cell>
          <cell r="I50">
            <v>7.202</v>
          </cell>
          <cell r="J50">
            <v>19.797999999999998</v>
          </cell>
          <cell r="K50">
            <v>0</v>
          </cell>
          <cell r="L50">
            <v>0</v>
          </cell>
          <cell r="M50">
            <v>0</v>
          </cell>
          <cell r="N50">
            <v>0</v>
          </cell>
          <cell r="O50">
            <v>0</v>
          </cell>
          <cell r="P50">
            <v>1.6E-2</v>
          </cell>
          <cell r="Q50">
            <v>19.814</v>
          </cell>
          <cell r="R50">
            <v>0</v>
          </cell>
          <cell r="S50">
            <v>0</v>
          </cell>
          <cell r="T50">
            <v>0</v>
          </cell>
          <cell r="U50">
            <v>0</v>
          </cell>
          <cell r="V50">
            <v>0</v>
          </cell>
          <cell r="W50">
            <v>19.814</v>
          </cell>
          <cell r="X50">
            <v>47.862000000000002</v>
          </cell>
          <cell r="Y50">
            <v>1529552.85</v>
          </cell>
          <cell r="Z50">
            <v>867024.45683000004</v>
          </cell>
        </row>
        <row r="51">
          <cell r="D51">
            <v>57486290</v>
          </cell>
          <cell r="E51">
            <v>0</v>
          </cell>
          <cell r="F51">
            <v>57486290</v>
          </cell>
          <cell r="G51">
            <v>7305.69</v>
          </cell>
          <cell r="H51">
            <v>27</v>
          </cell>
          <cell r="I51">
            <v>0</v>
          </cell>
          <cell r="J51">
            <v>27</v>
          </cell>
          <cell r="K51">
            <v>0</v>
          </cell>
          <cell r="L51">
            <v>0</v>
          </cell>
          <cell r="M51">
            <v>0</v>
          </cell>
          <cell r="N51">
            <v>0</v>
          </cell>
          <cell r="O51">
            <v>0</v>
          </cell>
          <cell r="P51">
            <v>0.127</v>
          </cell>
          <cell r="Q51">
            <v>27.126999999999999</v>
          </cell>
          <cell r="R51">
            <v>9.5</v>
          </cell>
          <cell r="S51">
            <v>0</v>
          </cell>
          <cell r="T51">
            <v>0</v>
          </cell>
          <cell r="U51">
            <v>0</v>
          </cell>
          <cell r="V51">
            <v>0</v>
          </cell>
          <cell r="W51">
            <v>36.627000000000002</v>
          </cell>
          <cell r="X51">
            <v>90.491</v>
          </cell>
          <cell r="Y51">
            <v>5495979.2699999996</v>
          </cell>
          <cell r="Z51">
            <v>3823907.9199999995</v>
          </cell>
        </row>
        <row r="52">
          <cell r="D52">
            <v>997365410</v>
          </cell>
          <cell r="E52">
            <v>11318430</v>
          </cell>
          <cell r="F52">
            <v>986046980</v>
          </cell>
          <cell r="G52">
            <v>303718</v>
          </cell>
          <cell r="H52">
            <v>15.72</v>
          </cell>
          <cell r="I52">
            <v>0</v>
          </cell>
          <cell r="J52">
            <v>15.72</v>
          </cell>
          <cell r="K52">
            <v>0</v>
          </cell>
          <cell r="L52">
            <v>0</v>
          </cell>
          <cell r="M52">
            <v>0</v>
          </cell>
          <cell r="N52">
            <v>0</v>
          </cell>
          <cell r="O52">
            <v>5.8319999999999999</v>
          </cell>
          <cell r="P52">
            <v>0.308</v>
          </cell>
          <cell r="Q52">
            <v>21.86</v>
          </cell>
          <cell r="R52">
            <v>14.757999999999999</v>
          </cell>
          <cell r="S52">
            <v>0</v>
          </cell>
          <cell r="T52">
            <v>0</v>
          </cell>
          <cell r="U52">
            <v>0</v>
          </cell>
          <cell r="V52">
            <v>0</v>
          </cell>
          <cell r="W52">
            <v>36.618000000000002</v>
          </cell>
          <cell r="X52">
            <v>127.13800000000001</v>
          </cell>
          <cell r="Y52">
            <v>135078960.16</v>
          </cell>
          <cell r="Z52">
            <v>118152732.09439999</v>
          </cell>
        </row>
        <row r="53">
          <cell r="D53">
            <v>855646760</v>
          </cell>
          <cell r="E53">
            <v>2070940</v>
          </cell>
          <cell r="F53">
            <v>853575820</v>
          </cell>
          <cell r="G53">
            <v>47462.94</v>
          </cell>
          <cell r="H53">
            <v>27</v>
          </cell>
          <cell r="I53">
            <v>2.1059999999999999</v>
          </cell>
          <cell r="J53">
            <v>24.893999999999998</v>
          </cell>
          <cell r="K53">
            <v>0</v>
          </cell>
          <cell r="L53">
            <v>0</v>
          </cell>
          <cell r="M53">
            <v>0</v>
          </cell>
          <cell r="N53">
            <v>0</v>
          </cell>
          <cell r="O53">
            <v>11.135</v>
          </cell>
          <cell r="P53">
            <v>5.6000000000000001E-2</v>
          </cell>
          <cell r="Q53">
            <v>36.085000000000001</v>
          </cell>
          <cell r="R53">
            <v>4.7</v>
          </cell>
          <cell r="S53">
            <v>0</v>
          </cell>
          <cell r="T53">
            <v>0</v>
          </cell>
          <cell r="U53">
            <v>0</v>
          </cell>
          <cell r="V53">
            <v>6.3120000000000003</v>
          </cell>
          <cell r="W53">
            <v>47.097000000000001</v>
          </cell>
          <cell r="X53">
            <v>101.90900000000001</v>
          </cell>
          <cell r="Y53">
            <v>93604949.049999997</v>
          </cell>
          <cell r="Z53">
            <v>70293691.596919999</v>
          </cell>
        </row>
        <row r="54">
          <cell r="D54">
            <v>247559830</v>
          </cell>
          <cell r="E54">
            <v>4900420</v>
          </cell>
          <cell r="F54">
            <v>242659410</v>
          </cell>
          <cell r="G54">
            <v>11438.12</v>
          </cell>
          <cell r="H54">
            <v>27</v>
          </cell>
          <cell r="I54">
            <v>4.3159999999999998</v>
          </cell>
          <cell r="J54">
            <v>22.684000000000001</v>
          </cell>
          <cell r="K54">
            <v>0</v>
          </cell>
          <cell r="L54">
            <v>0</v>
          </cell>
          <cell r="M54">
            <v>0</v>
          </cell>
          <cell r="N54">
            <v>0</v>
          </cell>
          <cell r="O54">
            <v>5</v>
          </cell>
          <cell r="P54">
            <v>4.7E-2</v>
          </cell>
          <cell r="Q54">
            <v>27.731000000000002</v>
          </cell>
          <cell r="R54">
            <v>0</v>
          </cell>
          <cell r="S54">
            <v>0</v>
          </cell>
          <cell r="T54">
            <v>0</v>
          </cell>
          <cell r="U54">
            <v>0</v>
          </cell>
          <cell r="V54">
            <v>0</v>
          </cell>
          <cell r="W54">
            <v>27.731000000000002</v>
          </cell>
          <cell r="X54">
            <v>307.363</v>
          </cell>
          <cell r="Y54">
            <v>79326664.150000006</v>
          </cell>
          <cell r="Z54">
            <v>73364291.823560014</v>
          </cell>
        </row>
        <row r="55">
          <cell r="D55">
            <v>4233689670</v>
          </cell>
          <cell r="E55">
            <v>111823160</v>
          </cell>
          <cell r="F55">
            <v>4121866510</v>
          </cell>
          <cell r="G55">
            <v>960274.44</v>
          </cell>
          <cell r="H55">
            <v>20.715</v>
          </cell>
          <cell r="I55">
            <v>0</v>
          </cell>
          <cell r="J55">
            <v>20.715</v>
          </cell>
          <cell r="K55">
            <v>0</v>
          </cell>
          <cell r="L55">
            <v>0</v>
          </cell>
          <cell r="M55">
            <v>0</v>
          </cell>
          <cell r="N55">
            <v>0</v>
          </cell>
          <cell r="O55">
            <v>19.120999999999999</v>
          </cell>
          <cell r="P55">
            <v>0.23300000000000001</v>
          </cell>
          <cell r="Q55">
            <v>40.069000000000003</v>
          </cell>
          <cell r="R55">
            <v>0</v>
          </cell>
          <cell r="S55">
            <v>0</v>
          </cell>
          <cell r="T55">
            <v>0</v>
          </cell>
          <cell r="U55">
            <v>0</v>
          </cell>
          <cell r="V55">
            <v>0</v>
          </cell>
          <cell r="W55">
            <v>40.069000000000003</v>
          </cell>
          <cell r="X55">
            <v>61.637</v>
          </cell>
          <cell r="Y55">
            <v>237754218.27000001</v>
          </cell>
          <cell r="Z55">
            <v>144320281.79535002</v>
          </cell>
        </row>
        <row r="56">
          <cell r="D56">
            <v>535684470</v>
          </cell>
          <cell r="E56">
            <v>0</v>
          </cell>
          <cell r="F56">
            <v>535684470</v>
          </cell>
          <cell r="G56">
            <v>23835.360000000001</v>
          </cell>
          <cell r="H56">
            <v>27</v>
          </cell>
          <cell r="I56">
            <v>0</v>
          </cell>
          <cell r="J56">
            <v>27</v>
          </cell>
          <cell r="K56">
            <v>0</v>
          </cell>
          <cell r="L56">
            <v>0</v>
          </cell>
          <cell r="M56">
            <v>0</v>
          </cell>
          <cell r="N56">
            <v>0</v>
          </cell>
          <cell r="O56">
            <v>17.355</v>
          </cell>
          <cell r="P56">
            <v>4.4999999999999998E-2</v>
          </cell>
          <cell r="Q56">
            <v>44.4</v>
          </cell>
          <cell r="R56">
            <v>10.6</v>
          </cell>
          <cell r="S56">
            <v>0</v>
          </cell>
          <cell r="T56">
            <v>0</v>
          </cell>
          <cell r="U56">
            <v>0</v>
          </cell>
          <cell r="V56">
            <v>0</v>
          </cell>
          <cell r="W56">
            <v>55</v>
          </cell>
          <cell r="X56">
            <v>63.027000000000001</v>
          </cell>
          <cell r="Y56">
            <v>36543997.630000003</v>
          </cell>
          <cell r="Z56">
            <v>20752100.750000004</v>
          </cell>
        </row>
        <row r="57">
          <cell r="D57">
            <v>185536830</v>
          </cell>
          <cell r="E57">
            <v>2613580</v>
          </cell>
          <cell r="F57">
            <v>182923250</v>
          </cell>
          <cell r="G57">
            <v>39586.47</v>
          </cell>
          <cell r="H57">
            <v>27</v>
          </cell>
          <cell r="I57">
            <v>1.1839999999999999</v>
          </cell>
          <cell r="J57">
            <v>25.815999999999999</v>
          </cell>
          <cell r="K57">
            <v>0</v>
          </cell>
          <cell r="L57">
            <v>0</v>
          </cell>
          <cell r="M57">
            <v>0</v>
          </cell>
          <cell r="N57">
            <v>0</v>
          </cell>
          <cell r="O57">
            <v>23.175999999999998</v>
          </cell>
          <cell r="P57">
            <v>0.216</v>
          </cell>
          <cell r="Q57">
            <v>49.207999999999998</v>
          </cell>
          <cell r="R57">
            <v>0</v>
          </cell>
          <cell r="S57">
            <v>0</v>
          </cell>
          <cell r="T57">
            <v>0</v>
          </cell>
          <cell r="U57">
            <v>0</v>
          </cell>
          <cell r="V57">
            <v>0</v>
          </cell>
          <cell r="W57">
            <v>49.207999999999998</v>
          </cell>
          <cell r="X57">
            <v>70.730999999999995</v>
          </cell>
          <cell r="Y57">
            <v>14108796.050000001</v>
          </cell>
          <cell r="Z57">
            <v>8985753.4580000006</v>
          </cell>
        </row>
        <row r="58">
          <cell r="D58">
            <v>2811399640</v>
          </cell>
          <cell r="E58">
            <v>47166200</v>
          </cell>
          <cell r="F58">
            <v>2764233440</v>
          </cell>
          <cell r="G58">
            <v>1886059.97</v>
          </cell>
          <cell r="H58">
            <v>27</v>
          </cell>
          <cell r="I58">
            <v>0</v>
          </cell>
          <cell r="J58">
            <v>27</v>
          </cell>
          <cell r="K58">
            <v>0</v>
          </cell>
          <cell r="L58">
            <v>0</v>
          </cell>
          <cell r="M58">
            <v>0</v>
          </cell>
          <cell r="N58">
            <v>0</v>
          </cell>
          <cell r="O58">
            <v>9.6760000000000002</v>
          </cell>
          <cell r="P58">
            <v>0.67900000000000005</v>
          </cell>
          <cell r="Q58">
            <v>37.354999999999997</v>
          </cell>
          <cell r="R58">
            <v>10.512</v>
          </cell>
          <cell r="S58">
            <v>0</v>
          </cell>
          <cell r="T58">
            <v>0</v>
          </cell>
          <cell r="U58">
            <v>0</v>
          </cell>
          <cell r="V58">
            <v>0</v>
          </cell>
          <cell r="W58">
            <v>47.866999999999997</v>
          </cell>
          <cell r="X58">
            <v>87.867999999999995</v>
          </cell>
          <cell r="Y58">
            <v>257850264.52000001</v>
          </cell>
          <cell r="Z58">
            <v>176637182.24000001</v>
          </cell>
        </row>
        <row r="59">
          <cell r="D59">
            <v>60675680</v>
          </cell>
          <cell r="E59">
            <v>0</v>
          </cell>
          <cell r="F59">
            <v>60675680</v>
          </cell>
          <cell r="G59">
            <v>215.54</v>
          </cell>
          <cell r="H59">
            <v>27</v>
          </cell>
          <cell r="I59">
            <v>0</v>
          </cell>
          <cell r="J59">
            <v>27</v>
          </cell>
          <cell r="K59">
            <v>0</v>
          </cell>
          <cell r="L59">
            <v>0</v>
          </cell>
          <cell r="M59">
            <v>0</v>
          </cell>
          <cell r="N59">
            <v>0</v>
          </cell>
          <cell r="O59">
            <v>0</v>
          </cell>
          <cell r="P59">
            <v>0</v>
          </cell>
          <cell r="Q59">
            <v>27</v>
          </cell>
          <cell r="R59">
            <v>0</v>
          </cell>
          <cell r="S59">
            <v>0</v>
          </cell>
          <cell r="T59">
            <v>0</v>
          </cell>
          <cell r="U59">
            <v>0</v>
          </cell>
          <cell r="V59">
            <v>0</v>
          </cell>
          <cell r="W59">
            <v>27</v>
          </cell>
          <cell r="X59">
            <v>170.589</v>
          </cell>
          <cell r="Y59">
            <v>10696792.92</v>
          </cell>
          <cell r="Z59">
            <v>8949604.7400000002</v>
          </cell>
        </row>
        <row r="60">
          <cell r="D60">
            <v>74566440</v>
          </cell>
          <cell r="E60">
            <v>0</v>
          </cell>
          <cell r="F60">
            <v>74566440</v>
          </cell>
          <cell r="G60">
            <v>0</v>
          </cell>
          <cell r="H60">
            <v>27</v>
          </cell>
          <cell r="I60">
            <v>2.581</v>
          </cell>
          <cell r="J60">
            <v>24.419</v>
          </cell>
          <cell r="K60">
            <v>0</v>
          </cell>
          <cell r="L60">
            <v>0</v>
          </cell>
          <cell r="M60">
            <v>0</v>
          </cell>
          <cell r="N60">
            <v>0</v>
          </cell>
          <cell r="O60">
            <v>0</v>
          </cell>
          <cell r="P60">
            <v>0</v>
          </cell>
          <cell r="Q60">
            <v>0</v>
          </cell>
          <cell r="R60">
            <v>0</v>
          </cell>
          <cell r="S60">
            <v>0</v>
          </cell>
          <cell r="T60">
            <v>0</v>
          </cell>
          <cell r="U60">
            <v>0</v>
          </cell>
          <cell r="V60">
            <v>0</v>
          </cell>
          <cell r="W60">
            <v>24.419</v>
          </cell>
          <cell r="X60">
            <v>90.34</v>
          </cell>
          <cell r="Y60">
            <v>6954190.8700000001</v>
          </cell>
          <cell r="Z60">
            <v>4994166.3216399997</v>
          </cell>
        </row>
        <row r="61">
          <cell r="D61">
            <v>53617430</v>
          </cell>
          <cell r="E61">
            <v>0</v>
          </cell>
          <cell r="F61">
            <v>53617430</v>
          </cell>
          <cell r="G61">
            <v>138922.21</v>
          </cell>
          <cell r="H61">
            <v>26.128</v>
          </cell>
          <cell r="I61">
            <v>14.695</v>
          </cell>
          <cell r="J61">
            <v>11.433</v>
          </cell>
          <cell r="K61">
            <v>0</v>
          </cell>
          <cell r="L61">
            <v>0</v>
          </cell>
          <cell r="M61">
            <v>0</v>
          </cell>
          <cell r="N61">
            <v>0</v>
          </cell>
          <cell r="O61">
            <v>0</v>
          </cell>
          <cell r="P61">
            <v>2.5910000000000002</v>
          </cell>
          <cell r="Q61">
            <v>14.023999999999999</v>
          </cell>
          <cell r="R61">
            <v>17.5</v>
          </cell>
          <cell r="S61">
            <v>0</v>
          </cell>
          <cell r="T61">
            <v>0</v>
          </cell>
          <cell r="U61">
            <v>0</v>
          </cell>
          <cell r="V61">
            <v>0</v>
          </cell>
          <cell r="W61">
            <v>31.524000000000001</v>
          </cell>
          <cell r="X61">
            <v>77.001000000000005</v>
          </cell>
          <cell r="Y61">
            <v>4162297.37</v>
          </cell>
          <cell r="Z61">
            <v>3496628.1928099999</v>
          </cell>
        </row>
        <row r="62">
          <cell r="D62">
            <v>916053740</v>
          </cell>
          <cell r="E62">
            <v>0</v>
          </cell>
          <cell r="F62">
            <v>916053740</v>
          </cell>
          <cell r="G62">
            <v>23183.8</v>
          </cell>
          <cell r="H62">
            <v>27</v>
          </cell>
          <cell r="I62">
            <v>0.83599999999999997</v>
          </cell>
          <cell r="J62">
            <v>26.164000000000001</v>
          </cell>
          <cell r="K62">
            <v>0</v>
          </cell>
          <cell r="L62">
            <v>0</v>
          </cell>
          <cell r="M62">
            <v>0</v>
          </cell>
          <cell r="N62">
            <v>0</v>
          </cell>
          <cell r="O62">
            <v>4.3659999999999997</v>
          </cell>
          <cell r="P62">
            <v>2.1999999999999999E-2</v>
          </cell>
          <cell r="Q62">
            <v>30.552</v>
          </cell>
          <cell r="R62">
            <v>6.9480000000000004</v>
          </cell>
          <cell r="S62">
            <v>0</v>
          </cell>
          <cell r="T62">
            <v>0</v>
          </cell>
          <cell r="U62">
            <v>0</v>
          </cell>
          <cell r="V62">
            <v>0</v>
          </cell>
          <cell r="W62">
            <v>37.5</v>
          </cell>
          <cell r="X62">
            <v>65.173000000000002</v>
          </cell>
          <cell r="Y62">
            <v>63752532.170000002</v>
          </cell>
          <cell r="Z62">
            <v>37961746.056639999</v>
          </cell>
        </row>
        <row r="63">
          <cell r="D63">
            <v>1665259940</v>
          </cell>
          <cell r="E63">
            <v>0</v>
          </cell>
          <cell r="F63">
            <v>1665259940</v>
          </cell>
          <cell r="G63">
            <v>128394</v>
          </cell>
          <cell r="H63">
            <v>27</v>
          </cell>
          <cell r="I63">
            <v>0</v>
          </cell>
          <cell r="J63">
            <v>27</v>
          </cell>
          <cell r="K63">
            <v>0</v>
          </cell>
          <cell r="L63">
            <v>0</v>
          </cell>
          <cell r="M63">
            <v>0</v>
          </cell>
          <cell r="N63">
            <v>0</v>
          </cell>
          <cell r="O63">
            <v>18.5</v>
          </cell>
          <cell r="P63">
            <v>7.6999999999999999E-2</v>
          </cell>
          <cell r="Q63">
            <v>45.576999999999998</v>
          </cell>
          <cell r="R63">
            <v>0</v>
          </cell>
          <cell r="S63">
            <v>0</v>
          </cell>
          <cell r="T63">
            <v>0</v>
          </cell>
          <cell r="U63">
            <v>0</v>
          </cell>
          <cell r="V63">
            <v>0</v>
          </cell>
          <cell r="W63">
            <v>45.576999999999998</v>
          </cell>
          <cell r="X63">
            <v>166.73099999999999</v>
          </cell>
          <cell r="Y63">
            <v>309743989.64999998</v>
          </cell>
          <cell r="Z63">
            <v>263809991.78999999</v>
          </cell>
        </row>
        <row r="64">
          <cell r="D64">
            <v>7678008</v>
          </cell>
          <cell r="E64">
            <v>0</v>
          </cell>
          <cell r="F64">
            <v>7678008</v>
          </cell>
          <cell r="G64">
            <v>1152.93</v>
          </cell>
          <cell r="H64">
            <v>27</v>
          </cell>
          <cell r="I64">
            <v>0</v>
          </cell>
          <cell r="J64">
            <v>27</v>
          </cell>
          <cell r="K64">
            <v>0</v>
          </cell>
          <cell r="L64">
            <v>0</v>
          </cell>
          <cell r="M64">
            <v>0</v>
          </cell>
          <cell r="N64">
            <v>0</v>
          </cell>
          <cell r="O64">
            <v>0</v>
          </cell>
          <cell r="P64">
            <v>0</v>
          </cell>
          <cell r="Q64">
            <v>27</v>
          </cell>
          <cell r="R64">
            <v>0</v>
          </cell>
          <cell r="S64">
            <v>0</v>
          </cell>
          <cell r="T64">
            <v>0</v>
          </cell>
          <cell r="U64">
            <v>0</v>
          </cell>
          <cell r="V64">
            <v>0</v>
          </cell>
          <cell r="W64">
            <v>27</v>
          </cell>
          <cell r="X64">
            <v>315.25900000000001</v>
          </cell>
          <cell r="Y64">
            <v>2412955.16</v>
          </cell>
          <cell r="Z64">
            <v>2188498.1040000003</v>
          </cell>
        </row>
        <row r="65">
          <cell r="D65">
            <v>41063028</v>
          </cell>
          <cell r="E65">
            <v>0</v>
          </cell>
          <cell r="F65">
            <v>41063028</v>
          </cell>
          <cell r="G65">
            <v>379.09</v>
          </cell>
          <cell r="H65">
            <v>27</v>
          </cell>
          <cell r="I65">
            <v>3.1659999999999999</v>
          </cell>
          <cell r="J65">
            <v>23.834</v>
          </cell>
          <cell r="K65">
            <v>0</v>
          </cell>
          <cell r="L65">
            <v>0</v>
          </cell>
          <cell r="M65">
            <v>0.98799999999999999</v>
          </cell>
          <cell r="N65">
            <v>0</v>
          </cell>
          <cell r="O65">
            <v>0</v>
          </cell>
          <cell r="P65">
            <v>8.9999999999999993E-3</v>
          </cell>
          <cell r="Q65">
            <v>24.831</v>
          </cell>
          <cell r="R65">
            <v>3.8450000000000002</v>
          </cell>
          <cell r="S65">
            <v>0</v>
          </cell>
          <cell r="T65">
            <v>0</v>
          </cell>
          <cell r="U65">
            <v>0</v>
          </cell>
          <cell r="V65">
            <v>0</v>
          </cell>
          <cell r="W65">
            <v>28.675999999999998</v>
          </cell>
          <cell r="X65">
            <v>104.01300000000001</v>
          </cell>
          <cell r="Y65">
            <v>4988684.32</v>
          </cell>
          <cell r="Z65">
            <v>3923273.160648</v>
          </cell>
        </row>
        <row r="66">
          <cell r="D66">
            <v>331418736</v>
          </cell>
          <cell r="E66">
            <v>1824853</v>
          </cell>
          <cell r="F66">
            <v>329593883</v>
          </cell>
          <cell r="G66">
            <v>32048.34</v>
          </cell>
          <cell r="H66">
            <v>27</v>
          </cell>
          <cell r="I66">
            <v>0</v>
          </cell>
          <cell r="J66">
            <v>27</v>
          </cell>
          <cell r="K66">
            <v>0</v>
          </cell>
          <cell r="L66">
            <v>0</v>
          </cell>
          <cell r="M66">
            <v>0</v>
          </cell>
          <cell r="N66">
            <v>0</v>
          </cell>
          <cell r="O66">
            <v>4.202</v>
          </cell>
          <cell r="P66">
            <v>9.7000000000000003E-2</v>
          </cell>
          <cell r="Q66">
            <v>31.298999999999999</v>
          </cell>
          <cell r="R66">
            <v>11.680999999999999</v>
          </cell>
          <cell r="S66">
            <v>0</v>
          </cell>
          <cell r="T66">
            <v>0</v>
          </cell>
          <cell r="U66">
            <v>0</v>
          </cell>
          <cell r="V66">
            <v>0</v>
          </cell>
          <cell r="W66">
            <v>42.98</v>
          </cell>
          <cell r="X66">
            <v>91.67</v>
          </cell>
          <cell r="Y66">
            <v>33387700.920000002</v>
          </cell>
          <cell r="Z66">
            <v>23414239.869000003</v>
          </cell>
        </row>
        <row r="67">
          <cell r="D67">
            <v>185269010</v>
          </cell>
          <cell r="E67">
            <v>0</v>
          </cell>
          <cell r="F67">
            <v>185269010</v>
          </cell>
          <cell r="G67">
            <v>5778.29</v>
          </cell>
          <cell r="H67">
            <v>27</v>
          </cell>
          <cell r="I67">
            <v>8.7970000000000006</v>
          </cell>
          <cell r="J67">
            <v>18.202999999999999</v>
          </cell>
          <cell r="K67">
            <v>0</v>
          </cell>
          <cell r="L67">
            <v>0</v>
          </cell>
          <cell r="M67">
            <v>0</v>
          </cell>
          <cell r="N67">
            <v>0</v>
          </cell>
          <cell r="O67">
            <v>1.889</v>
          </cell>
          <cell r="P67">
            <v>3.1E-2</v>
          </cell>
          <cell r="Q67">
            <v>20.123000000000001</v>
          </cell>
          <cell r="R67">
            <v>10.189</v>
          </cell>
          <cell r="S67">
            <v>0</v>
          </cell>
          <cell r="T67">
            <v>0</v>
          </cell>
          <cell r="U67">
            <v>0</v>
          </cell>
          <cell r="V67">
            <v>0</v>
          </cell>
          <cell r="W67">
            <v>30.312000000000001</v>
          </cell>
          <cell r="X67">
            <v>68.623999999999995</v>
          </cell>
          <cell r="Y67">
            <v>13689413.07</v>
          </cell>
          <cell r="Z67">
            <v>9961530.0109700002</v>
          </cell>
        </row>
        <row r="68">
          <cell r="D68">
            <v>89570320</v>
          </cell>
          <cell r="E68">
            <v>0</v>
          </cell>
          <cell r="F68">
            <v>89570320</v>
          </cell>
          <cell r="G68">
            <v>143.1</v>
          </cell>
          <cell r="H68">
            <v>27</v>
          </cell>
          <cell r="I68">
            <v>2.298</v>
          </cell>
          <cell r="J68">
            <v>24.702000000000002</v>
          </cell>
          <cell r="K68">
            <v>0</v>
          </cell>
          <cell r="L68">
            <v>0</v>
          </cell>
          <cell r="M68">
            <v>0</v>
          </cell>
          <cell r="N68">
            <v>0</v>
          </cell>
          <cell r="O68">
            <v>2</v>
          </cell>
          <cell r="P68">
            <v>1E-3</v>
          </cell>
          <cell r="Q68">
            <v>26.702999999999999</v>
          </cell>
          <cell r="R68">
            <v>0</v>
          </cell>
          <cell r="S68">
            <v>0</v>
          </cell>
          <cell r="T68">
            <v>0</v>
          </cell>
          <cell r="U68">
            <v>0</v>
          </cell>
          <cell r="V68">
            <v>0</v>
          </cell>
          <cell r="W68">
            <v>26.702999999999999</v>
          </cell>
          <cell r="X68">
            <v>33.404000000000003</v>
          </cell>
          <cell r="Y68">
            <v>3244185.07</v>
          </cell>
          <cell r="Z68">
            <v>799743.02535999985</v>
          </cell>
        </row>
        <row r="69">
          <cell r="D69">
            <v>1829767800</v>
          </cell>
          <cell r="E69">
            <v>1461470</v>
          </cell>
          <cell r="F69">
            <v>1828306330</v>
          </cell>
          <cell r="G69">
            <v>100685</v>
          </cell>
          <cell r="H69">
            <v>27</v>
          </cell>
          <cell r="I69">
            <v>2.2410000000000001</v>
          </cell>
          <cell r="J69">
            <v>24.759</v>
          </cell>
          <cell r="K69">
            <v>0</v>
          </cell>
          <cell r="L69">
            <v>0</v>
          </cell>
          <cell r="M69">
            <v>0</v>
          </cell>
          <cell r="N69">
            <v>0</v>
          </cell>
          <cell r="O69">
            <v>9.3230000000000004</v>
          </cell>
          <cell r="P69">
            <v>5.5E-2</v>
          </cell>
          <cell r="Q69">
            <v>34.137</v>
          </cell>
          <cell r="R69">
            <v>7.66</v>
          </cell>
          <cell r="S69">
            <v>0</v>
          </cell>
          <cell r="T69">
            <v>0</v>
          </cell>
          <cell r="U69">
            <v>0</v>
          </cell>
          <cell r="V69">
            <v>0</v>
          </cell>
          <cell r="W69">
            <v>41.796999999999997</v>
          </cell>
          <cell r="X69">
            <v>33.987000000000002</v>
          </cell>
          <cell r="Y69">
            <v>63559488.185999997</v>
          </cell>
          <cell r="Z69">
            <v>16658257.831529997</v>
          </cell>
        </row>
        <row r="70">
          <cell r="D70">
            <v>1344851270</v>
          </cell>
          <cell r="E70">
            <v>2298370</v>
          </cell>
          <cell r="F70">
            <v>1342552900</v>
          </cell>
          <cell r="G70">
            <v>27255.48</v>
          </cell>
          <cell r="H70">
            <v>16.282</v>
          </cell>
          <cell r="I70">
            <v>8.5820000000000007</v>
          </cell>
          <cell r="J70">
            <v>7.7</v>
          </cell>
          <cell r="K70">
            <v>0</v>
          </cell>
          <cell r="L70">
            <v>0</v>
          </cell>
          <cell r="M70">
            <v>0</v>
          </cell>
          <cell r="N70">
            <v>0</v>
          </cell>
          <cell r="O70">
            <v>6.8529999999999998</v>
          </cell>
          <cell r="P70">
            <v>0.02</v>
          </cell>
          <cell r="Q70">
            <v>14.573</v>
          </cell>
          <cell r="R70">
            <v>6.2830000000000004</v>
          </cell>
          <cell r="S70">
            <v>0</v>
          </cell>
          <cell r="T70">
            <v>0</v>
          </cell>
          <cell r="U70">
            <v>0</v>
          </cell>
          <cell r="V70">
            <v>0</v>
          </cell>
          <cell r="W70">
            <v>20.856000000000002</v>
          </cell>
          <cell r="X70">
            <v>34.317</v>
          </cell>
          <cell r="Y70">
            <v>46142093</v>
          </cell>
          <cell r="Z70">
            <v>35371767.910000004</v>
          </cell>
        </row>
        <row r="71">
          <cell r="D71">
            <v>1246220490</v>
          </cell>
          <cell r="E71">
            <v>0</v>
          </cell>
          <cell r="F71">
            <v>1246220490</v>
          </cell>
          <cell r="G71">
            <v>491</v>
          </cell>
          <cell r="H71">
            <v>4.3949999999999996</v>
          </cell>
          <cell r="I71">
            <v>0</v>
          </cell>
          <cell r="J71">
            <v>4.3949999999999996</v>
          </cell>
          <cell r="K71">
            <v>0</v>
          </cell>
          <cell r="L71">
            <v>0</v>
          </cell>
          <cell r="M71">
            <v>0</v>
          </cell>
          <cell r="N71">
            <v>0</v>
          </cell>
          <cell r="O71">
            <v>1.7390000000000001</v>
          </cell>
          <cell r="P71">
            <v>0</v>
          </cell>
          <cell r="Q71">
            <v>6.1340000000000003</v>
          </cell>
          <cell r="R71">
            <v>4.34</v>
          </cell>
          <cell r="S71">
            <v>0</v>
          </cell>
          <cell r="T71">
            <v>0</v>
          </cell>
          <cell r="U71">
            <v>0</v>
          </cell>
          <cell r="V71">
            <v>0</v>
          </cell>
          <cell r="W71">
            <v>10.474</v>
          </cell>
          <cell r="X71">
            <v>10.247999999999999</v>
          </cell>
          <cell r="Y71">
            <v>13240531.16</v>
          </cell>
          <cell r="Z71">
            <v>7519312.4064500006</v>
          </cell>
        </row>
        <row r="72">
          <cell r="D72">
            <v>462134910</v>
          </cell>
          <cell r="E72">
            <v>0</v>
          </cell>
          <cell r="F72">
            <v>462134910</v>
          </cell>
          <cell r="G72">
            <v>73.790000000000006</v>
          </cell>
          <cell r="H72">
            <v>6.6509999999999998</v>
          </cell>
          <cell r="I72">
            <v>0</v>
          </cell>
          <cell r="J72">
            <v>6.6509999999999998</v>
          </cell>
          <cell r="K72">
            <v>0</v>
          </cell>
          <cell r="L72">
            <v>0</v>
          </cell>
          <cell r="M72">
            <v>0</v>
          </cell>
          <cell r="N72">
            <v>0</v>
          </cell>
          <cell r="O72">
            <v>2.464</v>
          </cell>
          <cell r="P72">
            <v>0</v>
          </cell>
          <cell r="Q72">
            <v>9.1150000000000002</v>
          </cell>
          <cell r="R72">
            <v>0</v>
          </cell>
          <cell r="S72">
            <v>0.36199999999999999</v>
          </cell>
          <cell r="T72">
            <v>0</v>
          </cell>
          <cell r="U72">
            <v>0</v>
          </cell>
          <cell r="V72">
            <v>0</v>
          </cell>
          <cell r="W72">
            <v>9.4770000000000003</v>
          </cell>
          <cell r="X72">
            <v>11.227</v>
          </cell>
          <cell r="Y72">
            <v>5339861.53</v>
          </cell>
          <cell r="Z72">
            <v>2125385.8235900006</v>
          </cell>
        </row>
        <row r="73">
          <cell r="D73">
            <v>156244360</v>
          </cell>
          <cell r="E73">
            <v>0</v>
          </cell>
          <cell r="F73">
            <v>156244360</v>
          </cell>
          <cell r="G73">
            <v>18243</v>
          </cell>
          <cell r="H73">
            <v>13.811</v>
          </cell>
          <cell r="I73">
            <v>0</v>
          </cell>
          <cell r="J73">
            <v>13.811</v>
          </cell>
          <cell r="K73">
            <v>0</v>
          </cell>
          <cell r="L73">
            <v>0</v>
          </cell>
          <cell r="M73">
            <v>0</v>
          </cell>
          <cell r="N73">
            <v>0</v>
          </cell>
          <cell r="O73">
            <v>7.05</v>
          </cell>
          <cell r="P73">
            <v>0.12</v>
          </cell>
          <cell r="Q73">
            <v>20.981000000000002</v>
          </cell>
          <cell r="R73">
            <v>5.85</v>
          </cell>
          <cell r="S73">
            <v>0</v>
          </cell>
          <cell r="T73">
            <v>0</v>
          </cell>
          <cell r="U73">
            <v>0</v>
          </cell>
          <cell r="V73">
            <v>0</v>
          </cell>
          <cell r="W73">
            <v>26.831</v>
          </cell>
          <cell r="X73">
            <v>32.755000000000003</v>
          </cell>
          <cell r="Y73">
            <v>5437531.4900000002</v>
          </cell>
          <cell r="Z73">
            <v>3176555.6740400004</v>
          </cell>
        </row>
        <row r="74">
          <cell r="D74">
            <v>1273662280</v>
          </cell>
          <cell r="E74">
            <v>0</v>
          </cell>
          <cell r="F74">
            <v>1273662280</v>
          </cell>
          <cell r="G74">
            <v>15483.81</v>
          </cell>
          <cell r="H74">
            <v>12.776999999999999</v>
          </cell>
          <cell r="I74">
            <v>0</v>
          </cell>
          <cell r="J74">
            <v>12.776999999999999</v>
          </cell>
          <cell r="K74">
            <v>0</v>
          </cell>
          <cell r="L74">
            <v>0</v>
          </cell>
          <cell r="M74">
            <v>0.61599999999999999</v>
          </cell>
          <cell r="N74">
            <v>0</v>
          </cell>
          <cell r="O74">
            <v>1.8129999999999999</v>
          </cell>
          <cell r="P74">
            <v>1.2E-2</v>
          </cell>
          <cell r="Q74">
            <v>15.218</v>
          </cell>
          <cell r="R74">
            <v>5.0720000000000001</v>
          </cell>
          <cell r="S74">
            <v>0.23599999999999999</v>
          </cell>
          <cell r="T74">
            <v>0</v>
          </cell>
          <cell r="U74">
            <v>0</v>
          </cell>
          <cell r="V74">
            <v>0</v>
          </cell>
          <cell r="W74">
            <v>20.526</v>
          </cell>
          <cell r="X74">
            <v>9.6159999999999997</v>
          </cell>
          <cell r="Y74">
            <v>13576068.109999999</v>
          </cell>
          <cell r="Z74">
            <v>0</v>
          </cell>
        </row>
        <row r="75">
          <cell r="D75">
            <v>1083514765</v>
          </cell>
          <cell r="E75">
            <v>19612860</v>
          </cell>
          <cell r="F75">
            <v>1063901905</v>
          </cell>
          <cell r="G75">
            <v>52482</v>
          </cell>
          <cell r="H75">
            <v>15.736000000000001</v>
          </cell>
          <cell r="I75">
            <v>0</v>
          </cell>
          <cell r="J75">
            <v>15.736000000000001</v>
          </cell>
          <cell r="K75">
            <v>0</v>
          </cell>
          <cell r="L75">
            <v>0</v>
          </cell>
          <cell r="M75">
            <v>0</v>
          </cell>
          <cell r="N75">
            <v>0</v>
          </cell>
          <cell r="O75">
            <v>3.57</v>
          </cell>
          <cell r="P75">
            <v>4.9000000000000002E-2</v>
          </cell>
          <cell r="Q75">
            <v>19.355</v>
          </cell>
          <cell r="R75">
            <v>8.8350000000000009</v>
          </cell>
          <cell r="S75">
            <v>0</v>
          </cell>
          <cell r="T75">
            <v>0</v>
          </cell>
          <cell r="U75">
            <v>0</v>
          </cell>
          <cell r="V75">
            <v>0</v>
          </cell>
          <cell r="W75">
            <v>28.19</v>
          </cell>
          <cell r="X75">
            <v>18.443999999999999</v>
          </cell>
          <cell r="Y75">
            <v>21147860.199999999</v>
          </cell>
          <cell r="Z75">
            <v>3735497.4529200001</v>
          </cell>
        </row>
        <row r="76">
          <cell r="D76">
            <v>55639740</v>
          </cell>
          <cell r="E76">
            <v>0</v>
          </cell>
          <cell r="F76">
            <v>55639740</v>
          </cell>
          <cell r="G76">
            <v>44401.43</v>
          </cell>
          <cell r="H76">
            <v>19.067</v>
          </cell>
          <cell r="I76">
            <v>0</v>
          </cell>
          <cell r="J76">
            <v>19.067</v>
          </cell>
          <cell r="K76">
            <v>0</v>
          </cell>
          <cell r="L76">
            <v>0</v>
          </cell>
          <cell r="M76">
            <v>0</v>
          </cell>
          <cell r="N76">
            <v>0</v>
          </cell>
          <cell r="O76">
            <v>0</v>
          </cell>
          <cell r="P76">
            <v>0.79800000000000004</v>
          </cell>
          <cell r="Q76">
            <v>19.864999999999998</v>
          </cell>
          <cell r="R76">
            <v>5.3019999999999996</v>
          </cell>
          <cell r="S76">
            <v>0</v>
          </cell>
          <cell r="T76">
            <v>0</v>
          </cell>
          <cell r="U76">
            <v>0</v>
          </cell>
          <cell r="V76">
            <v>0</v>
          </cell>
          <cell r="W76">
            <v>25.167000000000002</v>
          </cell>
          <cell r="X76">
            <v>28.140999999999998</v>
          </cell>
          <cell r="Y76">
            <v>1595452.4</v>
          </cell>
          <cell r="Z76">
            <v>440362.88741999993</v>
          </cell>
        </row>
        <row r="77">
          <cell r="D77">
            <v>121111027</v>
          </cell>
          <cell r="E77">
            <v>361073</v>
          </cell>
          <cell r="F77">
            <v>120749954</v>
          </cell>
          <cell r="G77">
            <v>4975.9799999999996</v>
          </cell>
          <cell r="H77">
            <v>27</v>
          </cell>
          <cell r="I77">
            <v>0.219</v>
          </cell>
          <cell r="J77">
            <v>26.780999999999999</v>
          </cell>
          <cell r="K77">
            <v>0</v>
          </cell>
          <cell r="L77">
            <v>0</v>
          </cell>
          <cell r="M77">
            <v>0</v>
          </cell>
          <cell r="N77">
            <v>0</v>
          </cell>
          <cell r="O77">
            <v>0</v>
          </cell>
          <cell r="P77">
            <v>4.1000000000000002E-2</v>
          </cell>
          <cell r="Q77">
            <v>26.821999999999999</v>
          </cell>
          <cell r="R77">
            <v>8.8699999999999992</v>
          </cell>
          <cell r="S77">
            <v>0</v>
          </cell>
          <cell r="T77">
            <v>0</v>
          </cell>
          <cell r="U77">
            <v>0</v>
          </cell>
          <cell r="V77">
            <v>0</v>
          </cell>
          <cell r="W77">
            <v>35.692</v>
          </cell>
          <cell r="X77">
            <v>41.325000000000003</v>
          </cell>
          <cell r="Y77">
            <v>5444055.4500000002</v>
          </cell>
          <cell r="Z77">
            <v>2027956.2019260004</v>
          </cell>
        </row>
        <row r="78">
          <cell r="D78">
            <v>35375681</v>
          </cell>
          <cell r="E78">
            <v>0</v>
          </cell>
          <cell r="F78">
            <v>35375681</v>
          </cell>
          <cell r="G78">
            <v>0</v>
          </cell>
          <cell r="H78">
            <v>27</v>
          </cell>
          <cell r="I78">
            <v>0</v>
          </cell>
          <cell r="J78">
            <v>27</v>
          </cell>
          <cell r="K78">
            <v>0</v>
          </cell>
          <cell r="L78">
            <v>0</v>
          </cell>
          <cell r="M78">
            <v>0</v>
          </cell>
          <cell r="N78">
            <v>0</v>
          </cell>
          <cell r="O78">
            <v>0</v>
          </cell>
          <cell r="P78">
            <v>0</v>
          </cell>
          <cell r="Q78">
            <v>27</v>
          </cell>
          <cell r="R78">
            <v>12.11</v>
          </cell>
          <cell r="S78">
            <v>0</v>
          </cell>
          <cell r="T78">
            <v>0</v>
          </cell>
          <cell r="U78">
            <v>0</v>
          </cell>
          <cell r="V78">
            <v>0</v>
          </cell>
          <cell r="W78">
            <v>39.11</v>
          </cell>
          <cell r="X78">
            <v>85.317999999999998</v>
          </cell>
          <cell r="Y78">
            <v>3355685.08</v>
          </cell>
          <cell r="Z78">
            <v>2306407.2930000001</v>
          </cell>
        </row>
        <row r="79">
          <cell r="D79">
            <v>95163363</v>
          </cell>
          <cell r="E79">
            <v>0</v>
          </cell>
          <cell r="F79">
            <v>95163363</v>
          </cell>
          <cell r="G79">
            <v>5999.94</v>
          </cell>
          <cell r="H79">
            <v>23.041</v>
          </cell>
          <cell r="I79">
            <v>0</v>
          </cell>
          <cell r="J79">
            <v>23.041</v>
          </cell>
          <cell r="K79">
            <v>0</v>
          </cell>
          <cell r="L79">
            <v>0</v>
          </cell>
          <cell r="M79">
            <v>0</v>
          </cell>
          <cell r="N79">
            <v>0</v>
          </cell>
          <cell r="O79">
            <v>0</v>
          </cell>
          <cell r="P79">
            <v>6.2E-2</v>
          </cell>
          <cell r="Q79">
            <v>23.103000000000002</v>
          </cell>
          <cell r="R79">
            <v>0</v>
          </cell>
          <cell r="S79">
            <v>0</v>
          </cell>
          <cell r="T79">
            <v>0</v>
          </cell>
          <cell r="U79">
            <v>0</v>
          </cell>
          <cell r="V79">
            <v>0</v>
          </cell>
          <cell r="W79">
            <v>23.103000000000002</v>
          </cell>
          <cell r="X79">
            <v>28.21</v>
          </cell>
          <cell r="Y79">
            <v>2890901.54</v>
          </cell>
          <cell r="Z79">
            <v>326278.30311699997</v>
          </cell>
        </row>
        <row r="80">
          <cell r="D80">
            <v>14134691021</v>
          </cell>
          <cell r="E80">
            <v>631656311</v>
          </cell>
          <cell r="F80">
            <v>13503034710</v>
          </cell>
          <cell r="G80">
            <v>4244355.55</v>
          </cell>
          <cell r="H80">
            <v>27</v>
          </cell>
          <cell r="I80">
            <v>0</v>
          </cell>
          <cell r="J80">
            <v>27</v>
          </cell>
          <cell r="K80">
            <v>0</v>
          </cell>
          <cell r="L80">
            <v>0</v>
          </cell>
          <cell r="M80">
            <v>0</v>
          </cell>
          <cell r="N80">
            <v>0</v>
          </cell>
          <cell r="O80">
            <v>11.305999999999999</v>
          </cell>
          <cell r="P80">
            <v>0.314</v>
          </cell>
          <cell r="Q80">
            <v>38.619999999999997</v>
          </cell>
          <cell r="R80">
            <v>5.9059999999999997</v>
          </cell>
          <cell r="S80">
            <v>0</v>
          </cell>
          <cell r="T80">
            <v>0</v>
          </cell>
          <cell r="U80">
            <v>0</v>
          </cell>
          <cell r="V80">
            <v>0</v>
          </cell>
          <cell r="W80">
            <v>44.526000000000003</v>
          </cell>
          <cell r="X80">
            <v>54.186999999999998</v>
          </cell>
          <cell r="Y80">
            <v>784142616.3160001</v>
          </cell>
          <cell r="Z80">
            <v>396213636.67600006</v>
          </cell>
        </row>
        <row r="81">
          <cell r="D81">
            <v>20027980</v>
          </cell>
          <cell r="E81">
            <v>0</v>
          </cell>
          <cell r="F81">
            <v>20027980</v>
          </cell>
          <cell r="G81">
            <v>15805.29</v>
          </cell>
          <cell r="H81">
            <v>27</v>
          </cell>
          <cell r="I81">
            <v>1.8009999999999999</v>
          </cell>
          <cell r="J81">
            <v>25.199000000000002</v>
          </cell>
          <cell r="K81">
            <v>0</v>
          </cell>
          <cell r="L81">
            <v>0</v>
          </cell>
          <cell r="M81">
            <v>0</v>
          </cell>
          <cell r="N81">
            <v>0</v>
          </cell>
          <cell r="O81">
            <v>0</v>
          </cell>
          <cell r="P81">
            <v>0.78900000000000003</v>
          </cell>
          <cell r="Q81">
            <v>25.988</v>
          </cell>
          <cell r="R81">
            <v>0</v>
          </cell>
          <cell r="S81">
            <v>0</v>
          </cell>
          <cell r="T81">
            <v>0</v>
          </cell>
          <cell r="U81">
            <v>0</v>
          </cell>
          <cell r="V81">
            <v>0</v>
          </cell>
          <cell r="W81">
            <v>25.988</v>
          </cell>
          <cell r="X81">
            <v>148.029</v>
          </cell>
          <cell r="Y81">
            <v>3232044.13</v>
          </cell>
          <cell r="Z81">
            <v>2641524.2059599999</v>
          </cell>
        </row>
        <row r="82">
          <cell r="D82">
            <v>19570730</v>
          </cell>
          <cell r="E82">
            <v>0</v>
          </cell>
          <cell r="F82">
            <v>19570730</v>
          </cell>
          <cell r="G82">
            <v>10063.209999999999</v>
          </cell>
          <cell r="H82">
            <v>27</v>
          </cell>
          <cell r="I82">
            <v>4.4800000000000004</v>
          </cell>
          <cell r="J82">
            <v>22.52</v>
          </cell>
          <cell r="K82">
            <v>0</v>
          </cell>
          <cell r="L82">
            <v>0</v>
          </cell>
          <cell r="M82">
            <v>3.298</v>
          </cell>
          <cell r="N82">
            <v>0</v>
          </cell>
          <cell r="O82">
            <v>0</v>
          </cell>
          <cell r="P82">
            <v>0.51400000000000001</v>
          </cell>
          <cell r="Q82">
            <v>26.332000000000001</v>
          </cell>
          <cell r="R82">
            <v>0</v>
          </cell>
          <cell r="S82">
            <v>0</v>
          </cell>
          <cell r="T82">
            <v>0</v>
          </cell>
          <cell r="U82">
            <v>0</v>
          </cell>
          <cell r="V82">
            <v>0</v>
          </cell>
          <cell r="W82">
            <v>26.332000000000001</v>
          </cell>
          <cell r="X82">
            <v>167.149</v>
          </cell>
          <cell r="Y82">
            <v>3198150.4</v>
          </cell>
          <cell r="Z82">
            <v>2688683.7503999998</v>
          </cell>
        </row>
        <row r="83">
          <cell r="D83">
            <v>41779644</v>
          </cell>
          <cell r="E83">
            <v>0</v>
          </cell>
          <cell r="F83">
            <v>41779644</v>
          </cell>
          <cell r="G83">
            <v>2298</v>
          </cell>
          <cell r="H83">
            <v>27</v>
          </cell>
          <cell r="I83">
            <v>0</v>
          </cell>
          <cell r="J83">
            <v>27</v>
          </cell>
          <cell r="K83">
            <v>0</v>
          </cell>
          <cell r="L83">
            <v>0</v>
          </cell>
          <cell r="M83">
            <v>0</v>
          </cell>
          <cell r="N83">
            <v>0</v>
          </cell>
          <cell r="O83">
            <v>0</v>
          </cell>
          <cell r="P83">
            <v>5.5E-2</v>
          </cell>
          <cell r="Q83">
            <v>27.055</v>
          </cell>
          <cell r="R83">
            <v>0</v>
          </cell>
          <cell r="S83">
            <v>0</v>
          </cell>
          <cell r="T83">
            <v>0</v>
          </cell>
          <cell r="U83">
            <v>0</v>
          </cell>
          <cell r="V83">
            <v>0</v>
          </cell>
          <cell r="W83">
            <v>27.055</v>
          </cell>
          <cell r="X83">
            <v>61.994</v>
          </cell>
          <cell r="Y83">
            <v>2770736.56</v>
          </cell>
          <cell r="Z83">
            <v>1544196.402</v>
          </cell>
        </row>
        <row r="84">
          <cell r="D84">
            <v>30076431</v>
          </cell>
          <cell r="E84">
            <v>0</v>
          </cell>
          <cell r="F84">
            <v>30076431</v>
          </cell>
          <cell r="G84">
            <v>79131.509999999995</v>
          </cell>
          <cell r="H84">
            <v>24.334</v>
          </cell>
          <cell r="I84">
            <v>0</v>
          </cell>
          <cell r="J84">
            <v>24.334</v>
          </cell>
          <cell r="K84">
            <v>0</v>
          </cell>
          <cell r="L84">
            <v>0</v>
          </cell>
          <cell r="M84">
            <v>4.6340000000000003</v>
          </cell>
          <cell r="N84">
            <v>0</v>
          </cell>
          <cell r="O84">
            <v>0</v>
          </cell>
          <cell r="P84">
            <v>0</v>
          </cell>
          <cell r="Q84">
            <v>28.968</v>
          </cell>
          <cell r="R84">
            <v>7.4809999999999999</v>
          </cell>
          <cell r="S84">
            <v>0</v>
          </cell>
          <cell r="T84">
            <v>0</v>
          </cell>
          <cell r="U84">
            <v>0</v>
          </cell>
          <cell r="V84">
            <v>0</v>
          </cell>
          <cell r="W84">
            <v>36.448999999999998</v>
          </cell>
          <cell r="X84">
            <v>75.546999999999997</v>
          </cell>
          <cell r="Y84">
            <v>2317143.08</v>
          </cell>
          <cell r="Z84">
            <v>1503965.0380460001</v>
          </cell>
        </row>
        <row r="85">
          <cell r="D85">
            <v>23627480</v>
          </cell>
          <cell r="E85">
            <v>0</v>
          </cell>
          <cell r="F85">
            <v>23627480</v>
          </cell>
          <cell r="G85">
            <v>4109</v>
          </cell>
          <cell r="H85">
            <v>27</v>
          </cell>
          <cell r="I85">
            <v>0</v>
          </cell>
          <cell r="J85">
            <v>27</v>
          </cell>
          <cell r="K85">
            <v>0</v>
          </cell>
          <cell r="L85">
            <v>0</v>
          </cell>
          <cell r="M85">
            <v>0</v>
          </cell>
          <cell r="N85">
            <v>0</v>
          </cell>
          <cell r="O85">
            <v>7.5</v>
          </cell>
          <cell r="P85">
            <v>0.17399999999999999</v>
          </cell>
          <cell r="Q85">
            <v>34.673999999999999</v>
          </cell>
          <cell r="R85">
            <v>0</v>
          </cell>
          <cell r="S85">
            <v>0</v>
          </cell>
          <cell r="T85">
            <v>0</v>
          </cell>
          <cell r="U85">
            <v>0</v>
          </cell>
          <cell r="V85">
            <v>0</v>
          </cell>
          <cell r="W85">
            <v>34.673999999999999</v>
          </cell>
          <cell r="X85">
            <v>134.22300000000001</v>
          </cell>
          <cell r="Y85">
            <v>3365052.69</v>
          </cell>
          <cell r="Z85">
            <v>2656956.4300000002</v>
          </cell>
        </row>
        <row r="86">
          <cell r="D86">
            <v>17745502</v>
          </cell>
          <cell r="E86">
            <v>0</v>
          </cell>
          <cell r="F86">
            <v>17745502</v>
          </cell>
          <cell r="G86">
            <v>0</v>
          </cell>
          <cell r="H86">
            <v>27</v>
          </cell>
          <cell r="I86">
            <v>1.8120000000000001</v>
          </cell>
          <cell r="J86">
            <v>25.187999999999999</v>
          </cell>
          <cell r="K86">
            <v>0</v>
          </cell>
          <cell r="L86">
            <v>0</v>
          </cell>
          <cell r="M86">
            <v>0</v>
          </cell>
          <cell r="N86">
            <v>0</v>
          </cell>
          <cell r="O86">
            <v>13.7</v>
          </cell>
          <cell r="P86">
            <v>0</v>
          </cell>
          <cell r="Q86">
            <v>38.887999999999998</v>
          </cell>
          <cell r="R86">
            <v>0</v>
          </cell>
          <cell r="S86">
            <v>0</v>
          </cell>
          <cell r="T86">
            <v>0</v>
          </cell>
          <cell r="U86">
            <v>0</v>
          </cell>
          <cell r="V86">
            <v>0</v>
          </cell>
          <cell r="W86">
            <v>38.887999999999998</v>
          </cell>
          <cell r="X86">
            <v>117.13800000000001</v>
          </cell>
          <cell r="Y86">
            <v>2117222.92</v>
          </cell>
          <cell r="Z86">
            <v>1638724.9456239999</v>
          </cell>
        </row>
        <row r="87">
          <cell r="D87">
            <v>114213036</v>
          </cell>
          <cell r="E87">
            <v>0</v>
          </cell>
          <cell r="F87">
            <v>114213036</v>
          </cell>
          <cell r="G87">
            <v>2379.6</v>
          </cell>
          <cell r="H87">
            <v>27</v>
          </cell>
          <cell r="I87">
            <v>0</v>
          </cell>
          <cell r="J87">
            <v>27</v>
          </cell>
          <cell r="K87">
            <v>0</v>
          </cell>
          <cell r="L87">
            <v>0</v>
          </cell>
          <cell r="M87">
            <v>0</v>
          </cell>
          <cell r="N87">
            <v>0</v>
          </cell>
          <cell r="O87">
            <v>13.365</v>
          </cell>
          <cell r="P87">
            <v>2.1000000000000001E-2</v>
          </cell>
          <cell r="Q87">
            <v>40.386000000000003</v>
          </cell>
          <cell r="R87">
            <v>0</v>
          </cell>
          <cell r="S87">
            <v>0</v>
          </cell>
          <cell r="T87">
            <v>0</v>
          </cell>
          <cell r="U87">
            <v>0</v>
          </cell>
          <cell r="V87">
            <v>0</v>
          </cell>
          <cell r="W87">
            <v>40.386000000000003</v>
          </cell>
          <cell r="X87">
            <v>65.262</v>
          </cell>
          <cell r="Y87">
            <v>7791796.4900000002</v>
          </cell>
          <cell r="Z87">
            <v>4405668.5779999997</v>
          </cell>
        </row>
        <row r="88">
          <cell r="D88">
            <v>369570189</v>
          </cell>
          <cell r="E88">
            <v>3795889</v>
          </cell>
          <cell r="F88">
            <v>365774300</v>
          </cell>
          <cell r="G88">
            <v>60201.48</v>
          </cell>
          <cell r="H88">
            <v>26.513999999999999</v>
          </cell>
          <cell r="I88">
            <v>4.4999999999999998E-2</v>
          </cell>
          <cell r="J88">
            <v>26.469000000000001</v>
          </cell>
          <cell r="K88">
            <v>0</v>
          </cell>
          <cell r="L88">
            <v>0</v>
          </cell>
          <cell r="M88">
            <v>0</v>
          </cell>
          <cell r="N88">
            <v>0</v>
          </cell>
          <cell r="O88">
            <v>1.8260000000000001</v>
          </cell>
          <cell r="P88">
            <v>0.16500000000000001</v>
          </cell>
          <cell r="Q88">
            <v>28.46</v>
          </cell>
          <cell r="R88">
            <v>5.2060000000000004</v>
          </cell>
          <cell r="S88">
            <v>0</v>
          </cell>
          <cell r="T88">
            <v>0</v>
          </cell>
          <cell r="U88">
            <v>0</v>
          </cell>
          <cell r="V88">
            <v>0</v>
          </cell>
          <cell r="W88">
            <v>33.665999999999997</v>
          </cell>
          <cell r="X88">
            <v>26.067</v>
          </cell>
          <cell r="Y88">
            <v>10515866.15</v>
          </cell>
          <cell r="Z88">
            <v>538344.14330000104</v>
          </cell>
        </row>
        <row r="89">
          <cell r="D89">
            <v>1658306490</v>
          </cell>
          <cell r="E89">
            <v>2894710</v>
          </cell>
          <cell r="F89">
            <v>1655411780</v>
          </cell>
          <cell r="G89">
            <v>43423</v>
          </cell>
          <cell r="H89">
            <v>12.747999999999999</v>
          </cell>
          <cell r="I89">
            <v>3.1469999999999998</v>
          </cell>
          <cell r="J89">
            <v>9.6010000000000009</v>
          </cell>
          <cell r="K89">
            <v>0</v>
          </cell>
          <cell r="L89">
            <v>0</v>
          </cell>
          <cell r="M89">
            <v>1.583</v>
          </cell>
          <cell r="N89">
            <v>0</v>
          </cell>
          <cell r="O89">
            <v>7.5990000000000002</v>
          </cell>
          <cell r="P89">
            <v>2.5999999999999999E-2</v>
          </cell>
          <cell r="Q89">
            <v>18.809000000000001</v>
          </cell>
          <cell r="R89">
            <v>5.7759999999999998</v>
          </cell>
          <cell r="S89">
            <v>0</v>
          </cell>
          <cell r="T89">
            <v>0</v>
          </cell>
          <cell r="U89">
            <v>0</v>
          </cell>
          <cell r="V89">
            <v>0</v>
          </cell>
          <cell r="W89">
            <v>24.585000000000001</v>
          </cell>
          <cell r="X89">
            <v>35.491999999999997</v>
          </cell>
          <cell r="Y89">
            <v>53703808.159999996</v>
          </cell>
          <cell r="Z89">
            <v>36377540.020219997</v>
          </cell>
        </row>
        <row r="90">
          <cell r="D90">
            <v>267440460</v>
          </cell>
          <cell r="E90">
            <v>0</v>
          </cell>
          <cell r="F90">
            <v>267440460</v>
          </cell>
          <cell r="G90">
            <v>3860.27</v>
          </cell>
          <cell r="H90">
            <v>19.138000000000002</v>
          </cell>
          <cell r="I90">
            <v>7.9090000000000025</v>
          </cell>
          <cell r="J90">
            <v>11.228999999999999</v>
          </cell>
          <cell r="K90">
            <v>0</v>
          </cell>
          <cell r="L90">
            <v>0</v>
          </cell>
          <cell r="M90">
            <v>0.129</v>
          </cell>
          <cell r="N90">
            <v>0</v>
          </cell>
          <cell r="O90">
            <v>7.7350000000000003</v>
          </cell>
          <cell r="P90">
            <v>1.4E-2</v>
          </cell>
          <cell r="Q90">
            <v>19.106999999999999</v>
          </cell>
          <cell r="R90">
            <v>12.47</v>
          </cell>
          <cell r="S90">
            <v>0</v>
          </cell>
          <cell r="T90">
            <v>0</v>
          </cell>
          <cell r="U90">
            <v>0</v>
          </cell>
          <cell r="V90">
            <v>0</v>
          </cell>
          <cell r="W90">
            <v>31.577000000000002</v>
          </cell>
          <cell r="X90">
            <v>51.720999999999997</v>
          </cell>
          <cell r="Y90">
            <v>14537944.470000001</v>
          </cell>
          <cell r="Z90">
            <v>11314648.144660002</v>
          </cell>
        </row>
        <row r="91">
          <cell r="D91">
            <v>351976130</v>
          </cell>
          <cell r="E91">
            <v>0</v>
          </cell>
          <cell r="F91">
            <v>351976130</v>
          </cell>
          <cell r="G91">
            <v>1760</v>
          </cell>
          <cell r="H91">
            <v>7.3310000000000004</v>
          </cell>
          <cell r="I91">
            <v>2.0569999999999999</v>
          </cell>
          <cell r="J91">
            <v>5.274</v>
          </cell>
          <cell r="K91">
            <v>0</v>
          </cell>
          <cell r="L91">
            <v>0</v>
          </cell>
          <cell r="M91">
            <v>0</v>
          </cell>
          <cell r="N91">
            <v>0</v>
          </cell>
          <cell r="O91">
            <v>3.125</v>
          </cell>
          <cell r="P91">
            <v>5.0000000000000001E-3</v>
          </cell>
          <cell r="Q91">
            <v>8.4039999999999999</v>
          </cell>
          <cell r="R91">
            <v>9</v>
          </cell>
          <cell r="S91">
            <v>0</v>
          </cell>
          <cell r="T91">
            <v>0</v>
          </cell>
          <cell r="U91">
            <v>0</v>
          </cell>
          <cell r="V91">
            <v>0</v>
          </cell>
          <cell r="W91">
            <v>17.404</v>
          </cell>
          <cell r="X91">
            <v>25.792000000000002</v>
          </cell>
          <cell r="Y91">
            <v>9038319.8100000005</v>
          </cell>
          <cell r="Z91">
            <v>7074642.0803800002</v>
          </cell>
        </row>
        <row r="92">
          <cell r="D92">
            <v>5164299905</v>
          </cell>
          <cell r="E92">
            <v>287073438</v>
          </cell>
          <cell r="F92">
            <v>4877226467</v>
          </cell>
          <cell r="G92">
            <v>932941</v>
          </cell>
          <cell r="H92">
            <v>27</v>
          </cell>
          <cell r="I92">
            <v>0</v>
          </cell>
          <cell r="J92">
            <v>27</v>
          </cell>
          <cell r="K92">
            <v>0</v>
          </cell>
          <cell r="L92">
            <v>0</v>
          </cell>
          <cell r="M92">
            <v>0</v>
          </cell>
          <cell r="N92">
            <v>0</v>
          </cell>
          <cell r="O92">
            <v>13.106</v>
          </cell>
          <cell r="P92">
            <v>0.191</v>
          </cell>
          <cell r="Q92">
            <v>40.296999999999997</v>
          </cell>
          <cell r="R92">
            <v>13.137</v>
          </cell>
          <cell r="S92">
            <v>0</v>
          </cell>
          <cell r="T92">
            <v>0</v>
          </cell>
          <cell r="U92">
            <v>0</v>
          </cell>
          <cell r="V92">
            <v>0</v>
          </cell>
          <cell r="W92">
            <v>53.433999999999997</v>
          </cell>
          <cell r="X92">
            <v>63.564</v>
          </cell>
          <cell r="Y92">
            <v>293283712.32639998</v>
          </cell>
          <cell r="Z92">
            <v>153487480.3574</v>
          </cell>
        </row>
        <row r="93">
          <cell r="D93">
            <v>3479769646</v>
          </cell>
          <cell r="E93">
            <v>192137133</v>
          </cell>
          <cell r="F93">
            <v>3287632513</v>
          </cell>
          <cell r="G93">
            <v>206406.78</v>
          </cell>
          <cell r="H93">
            <v>27</v>
          </cell>
          <cell r="I93">
            <v>1.64</v>
          </cell>
          <cell r="J93">
            <v>25.36</v>
          </cell>
          <cell r="K93">
            <v>0</v>
          </cell>
          <cell r="L93">
            <v>0</v>
          </cell>
          <cell r="M93">
            <v>0</v>
          </cell>
          <cell r="N93">
            <v>0</v>
          </cell>
          <cell r="O93">
            <v>11.513999999999999</v>
          </cell>
          <cell r="P93">
            <v>6.3E-2</v>
          </cell>
          <cell r="Q93">
            <v>36.936999999999998</v>
          </cell>
          <cell r="R93">
            <v>5.8230000000000004</v>
          </cell>
          <cell r="S93">
            <v>0</v>
          </cell>
          <cell r="T93">
            <v>0</v>
          </cell>
          <cell r="U93">
            <v>0</v>
          </cell>
          <cell r="V93">
            <v>0</v>
          </cell>
          <cell r="W93">
            <v>42.76</v>
          </cell>
          <cell r="X93">
            <v>42.564999999999998</v>
          </cell>
          <cell r="Y93">
            <v>149130687.49000001</v>
          </cell>
          <cell r="Z93">
            <v>60898758.780320011</v>
          </cell>
        </row>
        <row r="94">
          <cell r="D94">
            <v>623652817</v>
          </cell>
          <cell r="E94">
            <v>0</v>
          </cell>
          <cell r="F94">
            <v>623652817</v>
          </cell>
          <cell r="G94">
            <v>26456.21</v>
          </cell>
          <cell r="H94">
            <v>20.548999999999999</v>
          </cell>
          <cell r="I94">
            <v>0</v>
          </cell>
          <cell r="J94">
            <v>17.523</v>
          </cell>
          <cell r="K94">
            <v>0.75</v>
          </cell>
          <cell r="L94">
            <v>2.2759999999999998</v>
          </cell>
          <cell r="M94">
            <v>0</v>
          </cell>
          <cell r="N94">
            <v>0</v>
          </cell>
          <cell r="O94">
            <v>5.4359999999999999</v>
          </cell>
          <cell r="P94">
            <v>4.2999999999999997E-2</v>
          </cell>
          <cell r="Q94">
            <v>26.027999999999999</v>
          </cell>
          <cell r="R94">
            <v>2.7050000000000001</v>
          </cell>
          <cell r="S94">
            <v>0</v>
          </cell>
          <cell r="T94">
            <v>0</v>
          </cell>
          <cell r="U94">
            <v>0</v>
          </cell>
          <cell r="V94">
            <v>0</v>
          </cell>
          <cell r="W94">
            <v>28.733000000000001</v>
          </cell>
          <cell r="X94">
            <v>16.422000000000001</v>
          </cell>
          <cell r="Y94">
            <v>11619688.26</v>
          </cell>
          <cell r="Z94">
            <v>5.259994650259614E-4</v>
          </cell>
        </row>
        <row r="95">
          <cell r="D95">
            <v>166554555</v>
          </cell>
          <cell r="E95">
            <v>1428278</v>
          </cell>
          <cell r="F95">
            <v>165126277</v>
          </cell>
          <cell r="G95">
            <v>0</v>
          </cell>
          <cell r="H95">
            <v>27</v>
          </cell>
          <cell r="I95">
            <v>11.573</v>
          </cell>
          <cell r="J95">
            <v>15.427</v>
          </cell>
          <cell r="K95">
            <v>0</v>
          </cell>
          <cell r="L95">
            <v>0</v>
          </cell>
          <cell r="M95">
            <v>0</v>
          </cell>
          <cell r="N95">
            <v>0</v>
          </cell>
          <cell r="O95">
            <v>0</v>
          </cell>
          <cell r="P95">
            <v>0</v>
          </cell>
          <cell r="Q95">
            <v>15.427</v>
          </cell>
          <cell r="R95">
            <v>3.4420000000000002</v>
          </cell>
          <cell r="S95">
            <v>0</v>
          </cell>
          <cell r="T95">
            <v>0</v>
          </cell>
          <cell r="U95">
            <v>0</v>
          </cell>
          <cell r="V95">
            <v>0</v>
          </cell>
          <cell r="W95">
            <v>18.869</v>
          </cell>
          <cell r="X95">
            <v>53.576000000000001</v>
          </cell>
          <cell r="Y95">
            <v>9592094.6400000006</v>
          </cell>
          <cell r="Z95">
            <v>6680447.3747210009</v>
          </cell>
        </row>
        <row r="96">
          <cell r="D96">
            <v>170503569</v>
          </cell>
          <cell r="E96">
            <v>0</v>
          </cell>
          <cell r="F96">
            <v>170503569</v>
          </cell>
          <cell r="G96">
            <v>156.54</v>
          </cell>
          <cell r="H96">
            <v>4.1689999999999996</v>
          </cell>
          <cell r="I96">
            <v>0</v>
          </cell>
          <cell r="J96">
            <v>4.1689999999999996</v>
          </cell>
          <cell r="K96">
            <v>0</v>
          </cell>
          <cell r="L96">
            <v>0</v>
          </cell>
          <cell r="M96">
            <v>0.46200000000000002</v>
          </cell>
          <cell r="N96">
            <v>0</v>
          </cell>
          <cell r="O96">
            <v>2.0529999999999999</v>
          </cell>
          <cell r="P96">
            <v>1E-3</v>
          </cell>
          <cell r="Q96">
            <v>6.6849999999999996</v>
          </cell>
          <cell r="R96">
            <v>5.5129999999999999</v>
          </cell>
          <cell r="S96">
            <v>0.82099999999999995</v>
          </cell>
          <cell r="T96">
            <v>0</v>
          </cell>
          <cell r="U96">
            <v>0</v>
          </cell>
          <cell r="V96">
            <v>0</v>
          </cell>
          <cell r="W96">
            <v>13.019</v>
          </cell>
          <cell r="X96">
            <v>21.582999999999998</v>
          </cell>
          <cell r="Y96">
            <v>3700948.8</v>
          </cell>
          <cell r="Z96">
            <v>2914253.9008389995</v>
          </cell>
        </row>
        <row r="97">
          <cell r="D97">
            <v>55902757</v>
          </cell>
          <cell r="E97">
            <v>176529</v>
          </cell>
          <cell r="F97">
            <v>55726228</v>
          </cell>
          <cell r="G97">
            <v>0</v>
          </cell>
          <cell r="H97">
            <v>27</v>
          </cell>
          <cell r="I97">
            <v>1.3420000000000001</v>
          </cell>
          <cell r="J97">
            <v>25.658000000000001</v>
          </cell>
          <cell r="K97">
            <v>0</v>
          </cell>
          <cell r="L97">
            <v>0</v>
          </cell>
          <cell r="M97">
            <v>0</v>
          </cell>
          <cell r="N97">
            <v>0</v>
          </cell>
          <cell r="O97">
            <v>0</v>
          </cell>
          <cell r="P97">
            <v>0</v>
          </cell>
          <cell r="Q97">
            <v>25.658000000000001</v>
          </cell>
          <cell r="R97">
            <v>4.5</v>
          </cell>
          <cell r="S97">
            <v>0</v>
          </cell>
          <cell r="T97">
            <v>0</v>
          </cell>
          <cell r="U97">
            <v>0</v>
          </cell>
          <cell r="V97">
            <v>0</v>
          </cell>
          <cell r="W97">
            <v>30.158000000000001</v>
          </cell>
          <cell r="X97">
            <v>72.866</v>
          </cell>
          <cell r="Y97">
            <v>4323182.2</v>
          </cell>
          <cell r="Z97">
            <v>2659383.0819760002</v>
          </cell>
        </row>
        <row r="98">
          <cell r="D98">
            <v>62477957</v>
          </cell>
          <cell r="E98">
            <v>0</v>
          </cell>
          <cell r="F98">
            <v>62477957</v>
          </cell>
          <cell r="G98">
            <v>0</v>
          </cell>
          <cell r="H98">
            <v>23.288</v>
          </cell>
          <cell r="I98">
            <v>11.768000000000001</v>
          </cell>
          <cell r="J98">
            <v>11.52</v>
          </cell>
          <cell r="K98">
            <v>0</v>
          </cell>
          <cell r="L98">
            <v>0</v>
          </cell>
          <cell r="M98">
            <v>0.47399999999999998</v>
          </cell>
          <cell r="N98">
            <v>0</v>
          </cell>
          <cell r="O98">
            <v>0</v>
          </cell>
          <cell r="P98">
            <v>0</v>
          </cell>
          <cell r="Q98">
            <v>11.994</v>
          </cell>
          <cell r="R98">
            <v>0</v>
          </cell>
          <cell r="S98">
            <v>0</v>
          </cell>
          <cell r="T98">
            <v>0</v>
          </cell>
          <cell r="U98">
            <v>0</v>
          </cell>
          <cell r="V98">
            <v>0</v>
          </cell>
          <cell r="W98">
            <v>11.994</v>
          </cell>
          <cell r="X98">
            <v>32.253</v>
          </cell>
          <cell r="Y98">
            <v>2104918.67</v>
          </cell>
          <cell r="Z98">
            <v>1304148.14536</v>
          </cell>
        </row>
        <row r="99">
          <cell r="D99">
            <v>19599894</v>
          </cell>
          <cell r="E99">
            <v>0</v>
          </cell>
          <cell r="F99">
            <v>19599894</v>
          </cell>
          <cell r="G99">
            <v>0</v>
          </cell>
          <cell r="H99">
            <v>27</v>
          </cell>
          <cell r="I99">
            <v>4.3840000000000003</v>
          </cell>
          <cell r="J99">
            <v>22.616</v>
          </cell>
          <cell r="K99">
            <v>0</v>
          </cell>
          <cell r="L99">
            <v>0</v>
          </cell>
          <cell r="M99">
            <v>0</v>
          </cell>
          <cell r="N99">
            <v>0</v>
          </cell>
          <cell r="O99">
            <v>6.64</v>
          </cell>
          <cell r="P99">
            <v>0</v>
          </cell>
          <cell r="Q99">
            <v>29.256</v>
          </cell>
          <cell r="R99">
            <v>0</v>
          </cell>
          <cell r="S99">
            <v>0</v>
          </cell>
          <cell r="T99">
            <v>0</v>
          </cell>
          <cell r="U99">
            <v>0</v>
          </cell>
          <cell r="V99">
            <v>0</v>
          </cell>
          <cell r="W99">
            <v>29.256</v>
          </cell>
          <cell r="X99">
            <v>230.43199999999999</v>
          </cell>
          <cell r="Y99">
            <v>4206282.2</v>
          </cell>
          <cell r="Z99">
            <v>3708001.4872960006</v>
          </cell>
        </row>
        <row r="100">
          <cell r="D100">
            <v>24722948</v>
          </cell>
          <cell r="E100">
            <v>0</v>
          </cell>
          <cell r="F100">
            <v>24722948</v>
          </cell>
          <cell r="G100">
            <v>0</v>
          </cell>
          <cell r="H100">
            <v>27</v>
          </cell>
          <cell r="I100">
            <v>13.021000000000001</v>
          </cell>
          <cell r="J100">
            <v>13.978999999999999</v>
          </cell>
          <cell r="K100">
            <v>0</v>
          </cell>
          <cell r="L100">
            <v>0</v>
          </cell>
          <cell r="M100">
            <v>1.1459999999999999</v>
          </cell>
          <cell r="N100">
            <v>0</v>
          </cell>
          <cell r="O100">
            <v>6.9429999999999996</v>
          </cell>
          <cell r="P100">
            <v>0</v>
          </cell>
          <cell r="Q100">
            <v>22.068000000000001</v>
          </cell>
          <cell r="R100">
            <v>9.3030200000000001</v>
          </cell>
          <cell r="S100">
            <v>0</v>
          </cell>
          <cell r="T100">
            <v>0</v>
          </cell>
          <cell r="U100">
            <v>0</v>
          </cell>
          <cell r="V100">
            <v>0</v>
          </cell>
          <cell r="W100">
            <v>31.371020000000001</v>
          </cell>
          <cell r="X100">
            <v>37.186</v>
          </cell>
          <cell r="Y100">
            <v>981132.01</v>
          </cell>
          <cell r="Z100">
            <v>590418.50990799989</v>
          </cell>
        </row>
        <row r="101">
          <cell r="D101">
            <v>75461579</v>
          </cell>
          <cell r="E101">
            <v>0</v>
          </cell>
          <cell r="F101">
            <v>75461579</v>
          </cell>
          <cell r="G101">
            <v>2448.94</v>
          </cell>
          <cell r="H101">
            <v>17.379000000000001</v>
          </cell>
          <cell r="I101">
            <v>0</v>
          </cell>
          <cell r="J101">
            <v>17.379000000000001</v>
          </cell>
          <cell r="K101">
            <v>0</v>
          </cell>
          <cell r="L101">
            <v>0</v>
          </cell>
          <cell r="M101">
            <v>0</v>
          </cell>
          <cell r="N101">
            <v>0</v>
          </cell>
          <cell r="O101">
            <v>0</v>
          </cell>
          <cell r="P101">
            <v>0</v>
          </cell>
          <cell r="Q101">
            <v>17.379000000000001</v>
          </cell>
          <cell r="R101">
            <v>6.5860000000000003</v>
          </cell>
          <cell r="S101">
            <v>0</v>
          </cell>
          <cell r="T101">
            <v>0</v>
          </cell>
          <cell r="U101">
            <v>0</v>
          </cell>
          <cell r="V101">
            <v>0</v>
          </cell>
          <cell r="W101">
            <v>23.965</v>
          </cell>
          <cell r="X101">
            <v>41.472000000000001</v>
          </cell>
          <cell r="Y101">
            <v>3439071.71</v>
          </cell>
          <cell r="Z101">
            <v>2001208.0885590001</v>
          </cell>
        </row>
        <row r="102">
          <cell r="D102">
            <v>83321676</v>
          </cell>
          <cell r="E102">
            <v>0</v>
          </cell>
          <cell r="F102">
            <v>83321676</v>
          </cell>
          <cell r="G102">
            <v>4236.22</v>
          </cell>
          <cell r="H102">
            <v>27</v>
          </cell>
          <cell r="I102">
            <v>2.1760000000000002</v>
          </cell>
          <cell r="J102">
            <v>24.824000000000002</v>
          </cell>
          <cell r="K102">
            <v>0</v>
          </cell>
          <cell r="L102">
            <v>0</v>
          </cell>
          <cell r="M102">
            <v>0</v>
          </cell>
          <cell r="N102">
            <v>0</v>
          </cell>
          <cell r="O102">
            <v>0</v>
          </cell>
          <cell r="P102">
            <v>5.0999999999999997E-2</v>
          </cell>
          <cell r="Q102">
            <v>24.875</v>
          </cell>
          <cell r="R102">
            <v>6.4429999999999996</v>
          </cell>
          <cell r="S102">
            <v>0</v>
          </cell>
          <cell r="T102">
            <v>0</v>
          </cell>
          <cell r="U102">
            <v>0</v>
          </cell>
          <cell r="V102">
            <v>0</v>
          </cell>
          <cell r="W102">
            <v>31.318000000000001</v>
          </cell>
          <cell r="X102">
            <v>61.860999999999997</v>
          </cell>
          <cell r="Y102">
            <v>5539829.2800000003</v>
          </cell>
          <cell r="Z102">
            <v>3241728.8049760005</v>
          </cell>
        </row>
        <row r="103">
          <cell r="D103">
            <v>6201370</v>
          </cell>
          <cell r="E103">
            <v>0</v>
          </cell>
          <cell r="F103">
            <v>6201370</v>
          </cell>
          <cell r="G103">
            <v>0</v>
          </cell>
          <cell r="H103">
            <v>27</v>
          </cell>
          <cell r="I103">
            <v>0</v>
          </cell>
          <cell r="J103">
            <v>27</v>
          </cell>
          <cell r="K103">
            <v>0</v>
          </cell>
          <cell r="L103">
            <v>0</v>
          </cell>
          <cell r="M103">
            <v>0</v>
          </cell>
          <cell r="N103">
            <v>0</v>
          </cell>
          <cell r="O103">
            <v>0</v>
          </cell>
          <cell r="P103">
            <v>0</v>
          </cell>
          <cell r="Q103">
            <v>27</v>
          </cell>
          <cell r="R103">
            <v>0</v>
          </cell>
          <cell r="S103">
            <v>0</v>
          </cell>
          <cell r="T103">
            <v>0</v>
          </cell>
          <cell r="U103">
            <v>0</v>
          </cell>
          <cell r="V103">
            <v>0</v>
          </cell>
          <cell r="W103">
            <v>27</v>
          </cell>
          <cell r="X103">
            <v>163.48599999999999</v>
          </cell>
          <cell r="Y103">
            <v>1065555.32</v>
          </cell>
          <cell r="Z103">
            <v>880236.58000000007</v>
          </cell>
        </row>
        <row r="104">
          <cell r="D104">
            <v>235396478</v>
          </cell>
          <cell r="E104">
            <v>6981968</v>
          </cell>
          <cell r="F104">
            <v>228414510</v>
          </cell>
          <cell r="G104">
            <v>7123.96</v>
          </cell>
          <cell r="H104">
            <v>27</v>
          </cell>
          <cell r="I104">
            <v>0</v>
          </cell>
          <cell r="J104">
            <v>27</v>
          </cell>
          <cell r="K104">
            <v>0</v>
          </cell>
          <cell r="L104">
            <v>0</v>
          </cell>
          <cell r="M104">
            <v>0</v>
          </cell>
          <cell r="N104">
            <v>0</v>
          </cell>
          <cell r="O104">
            <v>2.1890000000000001</v>
          </cell>
          <cell r="P104">
            <v>3.1E-2</v>
          </cell>
          <cell r="Q104">
            <v>29.22</v>
          </cell>
          <cell r="R104">
            <v>2.1070000000000002</v>
          </cell>
          <cell r="S104">
            <v>0</v>
          </cell>
          <cell r="T104">
            <v>0</v>
          </cell>
          <cell r="U104">
            <v>0</v>
          </cell>
          <cell r="V104">
            <v>0</v>
          </cell>
          <cell r="W104">
            <v>31.327000000000002</v>
          </cell>
          <cell r="X104">
            <v>80.578000000000003</v>
          </cell>
          <cell r="Y104">
            <v>19985172.489999998</v>
          </cell>
          <cell r="Z104">
            <v>13224240.129999999</v>
          </cell>
        </row>
        <row r="105">
          <cell r="D105">
            <v>46413903</v>
          </cell>
          <cell r="E105">
            <v>0</v>
          </cell>
          <cell r="F105">
            <v>46413903</v>
          </cell>
          <cell r="G105">
            <v>4734</v>
          </cell>
          <cell r="H105">
            <v>27</v>
          </cell>
          <cell r="I105">
            <v>0</v>
          </cell>
          <cell r="J105">
            <v>27</v>
          </cell>
          <cell r="K105">
            <v>0</v>
          </cell>
          <cell r="L105">
            <v>0</v>
          </cell>
          <cell r="M105">
            <v>0.40100000000000002</v>
          </cell>
          <cell r="N105">
            <v>0</v>
          </cell>
          <cell r="O105">
            <v>0.63800000000000001</v>
          </cell>
          <cell r="P105">
            <v>0.10199999999999999</v>
          </cell>
          <cell r="Q105">
            <v>28.140999999999998</v>
          </cell>
          <cell r="R105">
            <v>0</v>
          </cell>
          <cell r="S105">
            <v>0</v>
          </cell>
          <cell r="T105">
            <v>0</v>
          </cell>
          <cell r="U105">
            <v>0</v>
          </cell>
          <cell r="V105">
            <v>0</v>
          </cell>
          <cell r="W105">
            <v>28.140999999999998</v>
          </cell>
          <cell r="X105">
            <v>68.177999999999997</v>
          </cell>
          <cell r="Y105">
            <v>3333815.34</v>
          </cell>
          <cell r="Z105">
            <v>1964229.4389999998</v>
          </cell>
        </row>
        <row r="106">
          <cell r="D106">
            <v>41108249</v>
          </cell>
          <cell r="E106">
            <v>0</v>
          </cell>
          <cell r="F106">
            <v>41108249</v>
          </cell>
          <cell r="G106">
            <v>2179</v>
          </cell>
          <cell r="H106">
            <v>27</v>
          </cell>
          <cell r="I106">
            <v>0</v>
          </cell>
          <cell r="J106">
            <v>27</v>
          </cell>
          <cell r="K106">
            <v>0</v>
          </cell>
          <cell r="L106">
            <v>0</v>
          </cell>
          <cell r="M106">
            <v>0</v>
          </cell>
          <cell r="N106">
            <v>0</v>
          </cell>
          <cell r="O106">
            <v>0</v>
          </cell>
          <cell r="P106">
            <v>5.2999999999999999E-2</v>
          </cell>
          <cell r="Q106">
            <v>27.053000000000001</v>
          </cell>
          <cell r="R106">
            <v>3.9580000000000002</v>
          </cell>
          <cell r="S106">
            <v>0</v>
          </cell>
          <cell r="T106">
            <v>0</v>
          </cell>
          <cell r="U106">
            <v>0</v>
          </cell>
          <cell r="V106">
            <v>0</v>
          </cell>
          <cell r="W106">
            <v>31.010999999999999</v>
          </cell>
          <cell r="X106">
            <v>101.714</v>
          </cell>
          <cell r="Y106">
            <v>4406718.82</v>
          </cell>
          <cell r="Z106">
            <v>3201221.1770000001</v>
          </cell>
        </row>
        <row r="107">
          <cell r="D107">
            <v>57826506</v>
          </cell>
          <cell r="E107">
            <v>0</v>
          </cell>
          <cell r="F107">
            <v>57826506</v>
          </cell>
          <cell r="G107">
            <v>13141.16</v>
          </cell>
          <cell r="H107">
            <v>25.81</v>
          </cell>
          <cell r="I107">
            <v>5.3920000000000003</v>
          </cell>
          <cell r="J107">
            <v>20.417999999999999</v>
          </cell>
          <cell r="K107">
            <v>0</v>
          </cell>
          <cell r="L107">
            <v>0</v>
          </cell>
          <cell r="M107">
            <v>0</v>
          </cell>
          <cell r="N107">
            <v>0</v>
          </cell>
          <cell r="O107">
            <v>7.6950000000000003</v>
          </cell>
          <cell r="P107">
            <v>0.23</v>
          </cell>
          <cell r="Q107">
            <v>28.343</v>
          </cell>
          <cell r="R107">
            <v>14.425000000000001</v>
          </cell>
          <cell r="S107">
            <v>0</v>
          </cell>
          <cell r="T107">
            <v>0</v>
          </cell>
          <cell r="U107">
            <v>0</v>
          </cell>
          <cell r="V107">
            <v>0</v>
          </cell>
          <cell r="W107">
            <v>42.768000000000001</v>
          </cell>
          <cell r="X107">
            <v>49.594000000000001</v>
          </cell>
          <cell r="Y107">
            <v>3136416.17</v>
          </cell>
          <cell r="Z107">
            <v>1850067.990492</v>
          </cell>
        </row>
        <row r="108">
          <cell r="D108">
            <v>386457150</v>
          </cell>
          <cell r="E108">
            <v>0</v>
          </cell>
          <cell r="F108">
            <v>386457150</v>
          </cell>
          <cell r="G108">
            <v>2330.4499999999998</v>
          </cell>
          <cell r="H108">
            <v>3.43</v>
          </cell>
          <cell r="I108">
            <v>0</v>
          </cell>
          <cell r="J108">
            <v>3.43</v>
          </cell>
          <cell r="K108">
            <v>0</v>
          </cell>
          <cell r="L108">
            <v>0</v>
          </cell>
          <cell r="M108">
            <v>1.4E-2</v>
          </cell>
          <cell r="N108">
            <v>0</v>
          </cell>
          <cell r="O108">
            <v>0</v>
          </cell>
          <cell r="P108">
            <v>6.0000000000000001E-3</v>
          </cell>
          <cell r="Q108">
            <v>3.45</v>
          </cell>
          <cell r="R108">
            <v>2.8149999999999999</v>
          </cell>
          <cell r="S108">
            <v>0</v>
          </cell>
          <cell r="T108">
            <v>0</v>
          </cell>
          <cell r="U108">
            <v>0</v>
          </cell>
          <cell r="V108">
            <v>0</v>
          </cell>
          <cell r="W108">
            <v>6.2649999999999997</v>
          </cell>
          <cell r="X108">
            <v>6.8719999999999999</v>
          </cell>
          <cell r="Y108">
            <v>2984407.69</v>
          </cell>
          <cell r="Z108">
            <v>1566537.1754999999</v>
          </cell>
        </row>
        <row r="109">
          <cell r="D109">
            <v>216075390</v>
          </cell>
          <cell r="E109">
            <v>0</v>
          </cell>
          <cell r="F109">
            <v>216075390</v>
          </cell>
          <cell r="G109">
            <v>703.65</v>
          </cell>
          <cell r="H109">
            <v>11.895</v>
          </cell>
          <cell r="I109">
            <v>0</v>
          </cell>
          <cell r="J109">
            <v>11.895</v>
          </cell>
          <cell r="K109">
            <v>0</v>
          </cell>
          <cell r="L109">
            <v>0</v>
          </cell>
          <cell r="M109">
            <v>0</v>
          </cell>
          <cell r="N109">
            <v>0</v>
          </cell>
          <cell r="O109">
            <v>1.62</v>
          </cell>
          <cell r="P109">
            <v>3.0000000000000001E-3</v>
          </cell>
          <cell r="Q109">
            <v>13.518000000000001</v>
          </cell>
          <cell r="R109">
            <v>12.478999999999999</v>
          </cell>
          <cell r="S109">
            <v>0</v>
          </cell>
          <cell r="T109">
            <v>0</v>
          </cell>
          <cell r="U109">
            <v>0</v>
          </cell>
          <cell r="V109">
            <v>0</v>
          </cell>
          <cell r="W109">
            <v>25.997</v>
          </cell>
          <cell r="X109">
            <v>18.114000000000001</v>
          </cell>
          <cell r="Y109">
            <v>4352093.1900000004</v>
          </cell>
          <cell r="Z109">
            <v>1510031.6259500005</v>
          </cell>
        </row>
        <row r="110">
          <cell r="D110">
            <v>2515714950</v>
          </cell>
          <cell r="E110">
            <v>31075520</v>
          </cell>
          <cell r="F110">
            <v>2484639430</v>
          </cell>
          <cell r="G110">
            <v>233297.73</v>
          </cell>
          <cell r="H110">
            <v>27</v>
          </cell>
          <cell r="I110">
            <v>0</v>
          </cell>
          <cell r="J110">
            <v>27</v>
          </cell>
          <cell r="K110">
            <v>0</v>
          </cell>
          <cell r="L110">
            <v>0</v>
          </cell>
          <cell r="M110">
            <v>0</v>
          </cell>
          <cell r="N110">
            <v>0</v>
          </cell>
          <cell r="O110">
            <v>6.6289999999999996</v>
          </cell>
          <cell r="P110">
            <v>9.4E-2</v>
          </cell>
          <cell r="Q110">
            <v>33.722999999999999</v>
          </cell>
          <cell r="R110">
            <v>11.353999999999999</v>
          </cell>
          <cell r="S110">
            <v>0</v>
          </cell>
          <cell r="T110">
            <v>0</v>
          </cell>
          <cell r="U110">
            <v>0</v>
          </cell>
          <cell r="V110">
            <v>0</v>
          </cell>
          <cell r="W110">
            <v>45.076999999999998</v>
          </cell>
          <cell r="X110">
            <v>80.358000000000004</v>
          </cell>
          <cell r="Y110">
            <v>204464063.31580001</v>
          </cell>
          <cell r="Z110">
            <v>130010006.33579999</v>
          </cell>
        </row>
        <row r="111">
          <cell r="D111">
            <v>54531889</v>
          </cell>
          <cell r="E111">
            <v>0</v>
          </cell>
          <cell r="F111">
            <v>54531889</v>
          </cell>
          <cell r="G111">
            <v>0</v>
          </cell>
          <cell r="H111">
            <v>27</v>
          </cell>
          <cell r="I111">
            <v>3.5470000000000002</v>
          </cell>
          <cell r="J111">
            <v>23.452999999999999</v>
          </cell>
          <cell r="K111">
            <v>0</v>
          </cell>
          <cell r="L111">
            <v>0</v>
          </cell>
          <cell r="M111">
            <v>0</v>
          </cell>
          <cell r="N111">
            <v>0</v>
          </cell>
          <cell r="O111">
            <v>1.284</v>
          </cell>
          <cell r="P111">
            <v>0</v>
          </cell>
          <cell r="Q111">
            <v>24.736999999999998</v>
          </cell>
          <cell r="R111">
            <v>9.5359999999999996</v>
          </cell>
          <cell r="S111">
            <v>0</v>
          </cell>
          <cell r="T111">
            <v>0</v>
          </cell>
          <cell r="U111">
            <v>0</v>
          </cell>
          <cell r="V111">
            <v>0</v>
          </cell>
          <cell r="W111">
            <v>34.273000000000003</v>
          </cell>
          <cell r="X111">
            <v>30.478999999999999</v>
          </cell>
          <cell r="Y111">
            <v>2016983.34</v>
          </cell>
          <cell r="Z111">
            <v>626656.56728299998</v>
          </cell>
        </row>
        <row r="112">
          <cell r="D112">
            <v>411725505</v>
          </cell>
          <cell r="E112">
            <v>0</v>
          </cell>
          <cell r="F112">
            <v>411725505</v>
          </cell>
          <cell r="G112">
            <v>67130.62</v>
          </cell>
          <cell r="H112">
            <v>27</v>
          </cell>
          <cell r="I112">
            <v>3.484</v>
          </cell>
          <cell r="J112">
            <v>23.515999999999998</v>
          </cell>
          <cell r="K112">
            <v>0</v>
          </cell>
          <cell r="L112">
            <v>0</v>
          </cell>
          <cell r="M112">
            <v>0.67500000000000004</v>
          </cell>
          <cell r="N112">
            <v>0</v>
          </cell>
          <cell r="O112">
            <v>4.6150000000000002</v>
          </cell>
          <cell r="P112">
            <v>0.16300000000000001</v>
          </cell>
          <cell r="Q112">
            <v>28.969000000000001</v>
          </cell>
          <cell r="R112">
            <v>6.5270000000000001</v>
          </cell>
          <cell r="S112">
            <v>0</v>
          </cell>
          <cell r="T112">
            <v>0</v>
          </cell>
          <cell r="U112">
            <v>0</v>
          </cell>
          <cell r="V112">
            <v>0</v>
          </cell>
          <cell r="W112">
            <v>35.496000000000002</v>
          </cell>
          <cell r="X112">
            <v>44.606999999999999</v>
          </cell>
          <cell r="Y112">
            <v>19637476.870000001</v>
          </cell>
          <cell r="Z112">
            <v>9010345.1044200025</v>
          </cell>
        </row>
        <row r="113">
          <cell r="D113">
            <v>604219120</v>
          </cell>
          <cell r="E113">
            <v>0</v>
          </cell>
          <cell r="F113">
            <v>604219120</v>
          </cell>
          <cell r="G113">
            <v>0</v>
          </cell>
          <cell r="H113">
            <v>27</v>
          </cell>
          <cell r="I113">
            <v>5.1550000000000002</v>
          </cell>
          <cell r="J113">
            <v>21.844999999999999</v>
          </cell>
          <cell r="K113">
            <v>0</v>
          </cell>
          <cell r="L113">
            <v>0</v>
          </cell>
          <cell r="M113">
            <v>0</v>
          </cell>
          <cell r="N113">
            <v>0</v>
          </cell>
          <cell r="O113">
            <v>0</v>
          </cell>
          <cell r="P113">
            <v>0</v>
          </cell>
          <cell r="Q113">
            <v>21.844999999999999</v>
          </cell>
          <cell r="R113">
            <v>2.359</v>
          </cell>
          <cell r="S113">
            <v>0</v>
          </cell>
          <cell r="T113">
            <v>0</v>
          </cell>
          <cell r="U113">
            <v>0</v>
          </cell>
          <cell r="V113">
            <v>0</v>
          </cell>
          <cell r="W113">
            <v>24.204000000000001</v>
          </cell>
          <cell r="X113">
            <v>40.494999999999997</v>
          </cell>
          <cell r="Y113">
            <v>25511393.050000001</v>
          </cell>
          <cell r="Z113">
            <v>11209940.1536</v>
          </cell>
        </row>
        <row r="114">
          <cell r="D114">
            <v>62017240</v>
          </cell>
          <cell r="E114">
            <v>0</v>
          </cell>
          <cell r="F114">
            <v>62017240</v>
          </cell>
          <cell r="G114">
            <v>0</v>
          </cell>
          <cell r="H114">
            <v>27</v>
          </cell>
          <cell r="I114">
            <v>3.117</v>
          </cell>
          <cell r="J114">
            <v>23.882999999999999</v>
          </cell>
          <cell r="K114">
            <v>0</v>
          </cell>
          <cell r="L114">
            <v>0</v>
          </cell>
          <cell r="M114">
            <v>0</v>
          </cell>
          <cell r="N114">
            <v>0</v>
          </cell>
          <cell r="O114">
            <v>6.2889999999999997</v>
          </cell>
          <cell r="P114">
            <v>0</v>
          </cell>
          <cell r="Q114">
            <v>30.172000000000001</v>
          </cell>
          <cell r="R114">
            <v>3.7890000000000001</v>
          </cell>
          <cell r="S114">
            <v>0</v>
          </cell>
          <cell r="T114">
            <v>0</v>
          </cell>
          <cell r="U114">
            <v>0</v>
          </cell>
          <cell r="V114">
            <v>0</v>
          </cell>
          <cell r="W114">
            <v>33.960999999999999</v>
          </cell>
          <cell r="X114">
            <v>106.806</v>
          </cell>
          <cell r="Y114">
            <v>7335996.21</v>
          </cell>
          <cell r="Z114">
            <v>5694741.8570799995</v>
          </cell>
        </row>
        <row r="115">
          <cell r="D115">
            <v>54794750</v>
          </cell>
          <cell r="E115">
            <v>0</v>
          </cell>
          <cell r="F115">
            <v>54794750</v>
          </cell>
          <cell r="G115">
            <v>0</v>
          </cell>
          <cell r="H115">
            <v>27</v>
          </cell>
          <cell r="I115">
            <v>8.3420000000000005</v>
          </cell>
          <cell r="J115">
            <v>18.658000000000001</v>
          </cell>
          <cell r="K115">
            <v>0</v>
          </cell>
          <cell r="L115">
            <v>0</v>
          </cell>
          <cell r="M115">
            <v>0</v>
          </cell>
          <cell r="N115">
            <v>0</v>
          </cell>
          <cell r="O115">
            <v>1.0549999999999999</v>
          </cell>
          <cell r="P115">
            <v>0</v>
          </cell>
          <cell r="Q115">
            <v>19.713000000000001</v>
          </cell>
          <cell r="R115">
            <v>6.8440000000000003</v>
          </cell>
          <cell r="S115">
            <v>0</v>
          </cell>
          <cell r="T115">
            <v>0</v>
          </cell>
          <cell r="U115">
            <v>0</v>
          </cell>
          <cell r="V115">
            <v>0</v>
          </cell>
          <cell r="W115">
            <v>26.556999999999999</v>
          </cell>
          <cell r="X115">
            <v>93.137</v>
          </cell>
          <cell r="Y115">
            <v>5732204.0599999996</v>
          </cell>
          <cell r="Z115">
            <v>4626758.9744999995</v>
          </cell>
        </row>
        <row r="116">
          <cell r="D116">
            <v>822167120</v>
          </cell>
          <cell r="E116">
            <v>11231480</v>
          </cell>
          <cell r="F116">
            <v>810935640</v>
          </cell>
          <cell r="G116">
            <v>17773.349999999999</v>
          </cell>
          <cell r="H116">
            <v>27</v>
          </cell>
          <cell r="I116">
            <v>2.0329999999999999</v>
          </cell>
          <cell r="J116">
            <v>24.966999999999999</v>
          </cell>
          <cell r="K116">
            <v>0</v>
          </cell>
          <cell r="L116">
            <v>0</v>
          </cell>
          <cell r="M116">
            <v>0</v>
          </cell>
          <cell r="N116">
            <v>0</v>
          </cell>
          <cell r="O116">
            <v>0</v>
          </cell>
          <cell r="P116">
            <v>2.1999999999999999E-2</v>
          </cell>
          <cell r="Q116">
            <v>24.989000000000001</v>
          </cell>
          <cell r="R116">
            <v>2.4159999999999999</v>
          </cell>
          <cell r="S116">
            <v>0</v>
          </cell>
          <cell r="T116">
            <v>0</v>
          </cell>
          <cell r="U116">
            <v>0</v>
          </cell>
          <cell r="V116">
            <v>0</v>
          </cell>
          <cell r="W116">
            <v>27.405000000000001</v>
          </cell>
          <cell r="X116">
            <v>68.953000000000003</v>
          </cell>
          <cell r="Y116">
            <v>60911588.880000003</v>
          </cell>
          <cell r="Z116">
            <v>38383823.356120005</v>
          </cell>
        </row>
        <row r="117">
          <cell r="D117">
            <v>24571540</v>
          </cell>
          <cell r="E117">
            <v>0</v>
          </cell>
          <cell r="F117">
            <v>24571540</v>
          </cell>
          <cell r="G117">
            <v>2174</v>
          </cell>
          <cell r="H117">
            <v>27</v>
          </cell>
          <cell r="I117">
            <v>4.101</v>
          </cell>
          <cell r="J117">
            <v>22.899000000000001</v>
          </cell>
          <cell r="K117">
            <v>0</v>
          </cell>
          <cell r="L117">
            <v>0</v>
          </cell>
          <cell r="M117">
            <v>0</v>
          </cell>
          <cell r="N117">
            <v>0</v>
          </cell>
          <cell r="O117">
            <v>10.093</v>
          </cell>
          <cell r="P117">
            <v>8.7999999999999995E-2</v>
          </cell>
          <cell r="Q117">
            <v>33.08</v>
          </cell>
          <cell r="R117">
            <v>3.6629999999999998</v>
          </cell>
          <cell r="S117">
            <v>0</v>
          </cell>
          <cell r="T117">
            <v>0</v>
          </cell>
          <cell r="U117">
            <v>0</v>
          </cell>
          <cell r="V117">
            <v>0</v>
          </cell>
          <cell r="W117">
            <v>36.743000000000002</v>
          </cell>
          <cell r="X117">
            <v>153.51900000000001</v>
          </cell>
          <cell r="Y117">
            <v>3963213.02</v>
          </cell>
          <cell r="Z117">
            <v>3327224.2655400001</v>
          </cell>
        </row>
        <row r="118">
          <cell r="D118">
            <v>261062371</v>
          </cell>
          <cell r="E118">
            <v>0</v>
          </cell>
          <cell r="F118">
            <v>261062371</v>
          </cell>
          <cell r="G118">
            <v>0</v>
          </cell>
          <cell r="H118">
            <v>27</v>
          </cell>
          <cell r="I118">
            <v>0</v>
          </cell>
          <cell r="J118">
            <v>27</v>
          </cell>
          <cell r="K118">
            <v>0</v>
          </cell>
          <cell r="L118">
            <v>0</v>
          </cell>
          <cell r="M118">
            <v>0</v>
          </cell>
          <cell r="N118">
            <v>0</v>
          </cell>
          <cell r="O118">
            <v>9.1929999999999996</v>
          </cell>
          <cell r="P118">
            <v>0</v>
          </cell>
          <cell r="Q118">
            <v>36.192999999999998</v>
          </cell>
          <cell r="R118">
            <v>12.747</v>
          </cell>
          <cell r="S118">
            <v>0</v>
          </cell>
          <cell r="T118">
            <v>0</v>
          </cell>
          <cell r="U118">
            <v>0</v>
          </cell>
          <cell r="V118">
            <v>0</v>
          </cell>
          <cell r="W118">
            <v>48.94</v>
          </cell>
          <cell r="X118">
            <v>52.987000000000002</v>
          </cell>
          <cell r="Y118">
            <v>14579763.380000001</v>
          </cell>
          <cell r="Z118">
            <v>6938738.273000001</v>
          </cell>
        </row>
        <row r="119">
          <cell r="D119">
            <v>347639190</v>
          </cell>
          <cell r="E119">
            <v>0</v>
          </cell>
          <cell r="F119">
            <v>347639190</v>
          </cell>
          <cell r="G119">
            <v>77370</v>
          </cell>
          <cell r="H119">
            <v>27</v>
          </cell>
          <cell r="I119">
            <v>0</v>
          </cell>
          <cell r="J119">
            <v>27</v>
          </cell>
          <cell r="K119">
            <v>0</v>
          </cell>
          <cell r="L119">
            <v>0</v>
          </cell>
          <cell r="M119">
            <v>0</v>
          </cell>
          <cell r="N119">
            <v>0</v>
          </cell>
          <cell r="O119">
            <v>1.58</v>
          </cell>
          <cell r="P119">
            <v>0.223</v>
          </cell>
          <cell r="Q119">
            <v>28.803000000000001</v>
          </cell>
          <cell r="R119">
            <v>8.0890000000000004</v>
          </cell>
          <cell r="S119">
            <v>0</v>
          </cell>
          <cell r="T119">
            <v>0</v>
          </cell>
          <cell r="U119">
            <v>0</v>
          </cell>
          <cell r="V119">
            <v>0</v>
          </cell>
          <cell r="W119">
            <v>36.892000000000003</v>
          </cell>
          <cell r="X119">
            <v>94.376999999999995</v>
          </cell>
          <cell r="Y119">
            <v>34633061.68</v>
          </cell>
          <cell r="Z119">
            <v>24529244.189999998</v>
          </cell>
        </row>
        <row r="120">
          <cell r="D120">
            <v>31692710</v>
          </cell>
          <cell r="E120">
            <v>0</v>
          </cell>
          <cell r="F120">
            <v>31692710</v>
          </cell>
          <cell r="G120">
            <v>2754.34</v>
          </cell>
          <cell r="H120">
            <v>27</v>
          </cell>
          <cell r="I120">
            <v>0</v>
          </cell>
          <cell r="J120">
            <v>27</v>
          </cell>
          <cell r="K120">
            <v>0</v>
          </cell>
          <cell r="L120">
            <v>0</v>
          </cell>
          <cell r="M120">
            <v>0.30299999999999999</v>
          </cell>
          <cell r="N120">
            <v>0</v>
          </cell>
          <cell r="O120">
            <v>0</v>
          </cell>
          <cell r="P120">
            <v>8.6999999999999994E-2</v>
          </cell>
          <cell r="Q120">
            <v>27.39</v>
          </cell>
          <cell r="R120">
            <v>13.5</v>
          </cell>
          <cell r="S120">
            <v>0</v>
          </cell>
          <cell r="T120">
            <v>0</v>
          </cell>
          <cell r="U120">
            <v>0</v>
          </cell>
          <cell r="V120">
            <v>0</v>
          </cell>
          <cell r="W120">
            <v>40.89</v>
          </cell>
          <cell r="X120">
            <v>107.947</v>
          </cell>
          <cell r="Y120">
            <v>3509059.61</v>
          </cell>
          <cell r="Z120">
            <v>2580378.12</v>
          </cell>
        </row>
        <row r="121">
          <cell r="D121">
            <v>516961960</v>
          </cell>
          <cell r="E121">
            <v>0</v>
          </cell>
          <cell r="F121">
            <v>516961960</v>
          </cell>
          <cell r="G121">
            <v>5769.75</v>
          </cell>
          <cell r="H121">
            <v>24.545000000000002</v>
          </cell>
          <cell r="I121">
            <v>0</v>
          </cell>
          <cell r="J121">
            <v>17.145</v>
          </cell>
          <cell r="K121">
            <v>0.69299999999999995</v>
          </cell>
          <cell r="L121">
            <v>6.7069999999999999</v>
          </cell>
          <cell r="M121">
            <v>0</v>
          </cell>
          <cell r="N121">
            <v>0</v>
          </cell>
          <cell r="O121">
            <v>0</v>
          </cell>
          <cell r="P121">
            <v>1.0999999999999999E-2</v>
          </cell>
          <cell r="Q121">
            <v>24.556000000000001</v>
          </cell>
          <cell r="R121">
            <v>12.5</v>
          </cell>
          <cell r="S121">
            <v>0</v>
          </cell>
          <cell r="T121">
            <v>0</v>
          </cell>
          <cell r="U121">
            <v>0</v>
          </cell>
          <cell r="V121">
            <v>0</v>
          </cell>
          <cell r="W121">
            <v>37.055999999999997</v>
          </cell>
          <cell r="X121">
            <v>17.305</v>
          </cell>
          <cell r="Y121">
            <v>9249359.6099999994</v>
          </cell>
          <cell r="Z121">
            <v>5.8207660913467407E-10</v>
          </cell>
        </row>
        <row r="122">
          <cell r="D122">
            <v>83433505</v>
          </cell>
          <cell r="E122">
            <v>2433227</v>
          </cell>
          <cell r="F122">
            <v>81000278</v>
          </cell>
          <cell r="G122">
            <v>29428.2</v>
          </cell>
          <cell r="H122">
            <v>27</v>
          </cell>
          <cell r="I122">
            <v>0</v>
          </cell>
          <cell r="J122">
            <v>27</v>
          </cell>
          <cell r="K122">
            <v>0</v>
          </cell>
          <cell r="L122">
            <v>0</v>
          </cell>
          <cell r="M122">
            <v>0</v>
          </cell>
          <cell r="N122">
            <v>0</v>
          </cell>
          <cell r="O122">
            <v>0</v>
          </cell>
          <cell r="P122">
            <v>0.36299999999999999</v>
          </cell>
          <cell r="Q122">
            <v>27.363</v>
          </cell>
          <cell r="R122">
            <v>5.4560000000000004</v>
          </cell>
          <cell r="S122">
            <v>0</v>
          </cell>
          <cell r="T122">
            <v>0</v>
          </cell>
          <cell r="U122">
            <v>0</v>
          </cell>
          <cell r="V122">
            <v>0</v>
          </cell>
          <cell r="W122">
            <v>32.819000000000003</v>
          </cell>
          <cell r="X122">
            <v>173.20099999999999</v>
          </cell>
          <cell r="Y122">
            <v>15230867.33</v>
          </cell>
          <cell r="Z122">
            <v>12595433.504000001</v>
          </cell>
        </row>
        <row r="123">
          <cell r="D123">
            <v>36885639</v>
          </cell>
          <cell r="E123">
            <v>0</v>
          </cell>
          <cell r="F123">
            <v>36885639</v>
          </cell>
          <cell r="G123">
            <v>1106.19</v>
          </cell>
          <cell r="H123">
            <v>27</v>
          </cell>
          <cell r="I123">
            <v>0</v>
          </cell>
          <cell r="J123">
            <v>27</v>
          </cell>
          <cell r="K123">
            <v>0</v>
          </cell>
          <cell r="L123">
            <v>0</v>
          </cell>
          <cell r="M123">
            <v>0</v>
          </cell>
          <cell r="N123">
            <v>0</v>
          </cell>
          <cell r="O123">
            <v>0</v>
          </cell>
          <cell r="P123">
            <v>0.03</v>
          </cell>
          <cell r="Q123">
            <v>27.03</v>
          </cell>
          <cell r="R123">
            <v>8.1470000000000002</v>
          </cell>
          <cell r="S123">
            <v>0</v>
          </cell>
          <cell r="T123">
            <v>0</v>
          </cell>
          <cell r="U123">
            <v>0</v>
          </cell>
          <cell r="V123">
            <v>0</v>
          </cell>
          <cell r="W123">
            <v>35.177</v>
          </cell>
          <cell r="X123">
            <v>193.84200000000001</v>
          </cell>
          <cell r="Y123">
            <v>7974736.7599999998</v>
          </cell>
          <cell r="Z123">
            <v>6791729.5869999994</v>
          </cell>
        </row>
        <row r="124">
          <cell r="D124">
            <v>11110891</v>
          </cell>
          <cell r="E124">
            <v>0</v>
          </cell>
          <cell r="F124">
            <v>11110891</v>
          </cell>
          <cell r="G124">
            <v>5</v>
          </cell>
          <cell r="H124">
            <v>27</v>
          </cell>
          <cell r="I124">
            <v>2.2709999999999999</v>
          </cell>
          <cell r="J124">
            <v>24.728999999999999</v>
          </cell>
          <cell r="K124">
            <v>0</v>
          </cell>
          <cell r="L124">
            <v>0</v>
          </cell>
          <cell r="M124">
            <v>0</v>
          </cell>
          <cell r="N124">
            <v>0</v>
          </cell>
          <cell r="O124">
            <v>0</v>
          </cell>
          <cell r="P124">
            <v>0</v>
          </cell>
          <cell r="Q124">
            <v>24.728999999999999</v>
          </cell>
          <cell r="R124">
            <v>0</v>
          </cell>
          <cell r="S124">
            <v>0</v>
          </cell>
          <cell r="T124">
            <v>0</v>
          </cell>
          <cell r="U124">
            <v>0</v>
          </cell>
          <cell r="V124">
            <v>0</v>
          </cell>
          <cell r="W124">
            <v>24.728999999999999</v>
          </cell>
          <cell r="X124">
            <v>276.50099999999998</v>
          </cell>
          <cell r="Y124">
            <v>3357526.29</v>
          </cell>
          <cell r="Z124">
            <v>3032727.3464609999</v>
          </cell>
        </row>
        <row r="125">
          <cell r="D125">
            <v>28103258</v>
          </cell>
          <cell r="E125">
            <v>0</v>
          </cell>
          <cell r="F125">
            <v>28103258</v>
          </cell>
          <cell r="G125">
            <v>249.84</v>
          </cell>
          <cell r="H125">
            <v>27</v>
          </cell>
          <cell r="I125">
            <v>0</v>
          </cell>
          <cell r="J125">
            <v>27</v>
          </cell>
          <cell r="K125">
            <v>0</v>
          </cell>
          <cell r="L125">
            <v>0</v>
          </cell>
          <cell r="M125">
            <v>0</v>
          </cell>
          <cell r="N125">
            <v>0</v>
          </cell>
          <cell r="O125">
            <v>0</v>
          </cell>
          <cell r="P125">
            <v>8.9999999999999993E-3</v>
          </cell>
          <cell r="Q125">
            <v>27.009</v>
          </cell>
          <cell r="R125">
            <v>13.324999999999999</v>
          </cell>
          <cell r="S125">
            <v>0</v>
          </cell>
          <cell r="T125">
            <v>0</v>
          </cell>
          <cell r="U125">
            <v>0</v>
          </cell>
          <cell r="V125">
            <v>0</v>
          </cell>
          <cell r="W125">
            <v>40.334000000000003</v>
          </cell>
          <cell r="X125">
            <v>154.88999999999999</v>
          </cell>
          <cell r="Y125">
            <v>4741557.67</v>
          </cell>
          <cell r="Z125">
            <v>3861876.9440000001</v>
          </cell>
        </row>
        <row r="126">
          <cell r="D126">
            <v>8571918</v>
          </cell>
          <cell r="E126">
            <v>0</v>
          </cell>
          <cell r="F126">
            <v>8571918</v>
          </cell>
          <cell r="G126">
            <v>1034</v>
          </cell>
          <cell r="H126">
            <v>27</v>
          </cell>
          <cell r="I126">
            <v>0</v>
          </cell>
          <cell r="J126">
            <v>27</v>
          </cell>
          <cell r="K126">
            <v>0</v>
          </cell>
          <cell r="L126">
            <v>0</v>
          </cell>
          <cell r="M126">
            <v>0</v>
          </cell>
          <cell r="N126">
            <v>0</v>
          </cell>
          <cell r="O126">
            <v>0</v>
          </cell>
          <cell r="P126">
            <v>0</v>
          </cell>
          <cell r="Q126">
            <v>27</v>
          </cell>
          <cell r="R126">
            <v>0</v>
          </cell>
          <cell r="S126">
            <v>0</v>
          </cell>
          <cell r="T126">
            <v>0</v>
          </cell>
          <cell r="U126">
            <v>0</v>
          </cell>
          <cell r="V126">
            <v>0</v>
          </cell>
          <cell r="W126">
            <v>27</v>
          </cell>
          <cell r="X126">
            <v>390.44499999999999</v>
          </cell>
          <cell r="Y126">
            <v>3526921.63</v>
          </cell>
          <cell r="Z126">
            <v>3249253.4040000001</v>
          </cell>
        </row>
        <row r="127">
          <cell r="D127">
            <v>21093909</v>
          </cell>
          <cell r="E127">
            <v>788267</v>
          </cell>
          <cell r="F127">
            <v>20305642</v>
          </cell>
          <cell r="G127">
            <v>0</v>
          </cell>
          <cell r="H127">
            <v>27</v>
          </cell>
          <cell r="I127">
            <v>2.0030000000000001</v>
          </cell>
          <cell r="J127">
            <v>24.997</v>
          </cell>
          <cell r="K127">
            <v>0</v>
          </cell>
          <cell r="L127">
            <v>0</v>
          </cell>
          <cell r="M127">
            <v>0</v>
          </cell>
          <cell r="N127">
            <v>0</v>
          </cell>
          <cell r="O127">
            <v>0.78100000000000003</v>
          </cell>
          <cell r="P127">
            <v>0</v>
          </cell>
          <cell r="Q127">
            <v>25.777999999999999</v>
          </cell>
          <cell r="R127">
            <v>9.2240000000000002</v>
          </cell>
          <cell r="S127">
            <v>0</v>
          </cell>
          <cell r="T127">
            <v>0</v>
          </cell>
          <cell r="U127">
            <v>0</v>
          </cell>
          <cell r="V127">
            <v>0</v>
          </cell>
          <cell r="W127">
            <v>35.002000000000002</v>
          </cell>
          <cell r="X127">
            <v>201.77099999999999</v>
          </cell>
          <cell r="Y127">
            <v>4343813.96</v>
          </cell>
          <cell r="Z127">
            <v>3736488.5469260002</v>
          </cell>
        </row>
        <row r="128">
          <cell r="D128">
            <v>101251360</v>
          </cell>
          <cell r="E128">
            <v>0</v>
          </cell>
          <cell r="F128">
            <v>101251360</v>
          </cell>
          <cell r="G128">
            <v>16549.78</v>
          </cell>
          <cell r="H128">
            <v>27</v>
          </cell>
          <cell r="I128">
            <v>5.069</v>
          </cell>
          <cell r="J128">
            <v>21.931000000000001</v>
          </cell>
          <cell r="K128">
            <v>0</v>
          </cell>
          <cell r="L128">
            <v>0</v>
          </cell>
          <cell r="M128">
            <v>0</v>
          </cell>
          <cell r="N128">
            <v>0</v>
          </cell>
          <cell r="O128">
            <v>4.8739999999999997</v>
          </cell>
          <cell r="P128">
            <v>0.16300000000000001</v>
          </cell>
          <cell r="Q128">
            <v>26.968</v>
          </cell>
          <cell r="R128">
            <v>1.9339999999999999</v>
          </cell>
          <cell r="S128">
            <v>0</v>
          </cell>
          <cell r="T128">
            <v>0</v>
          </cell>
          <cell r="U128">
            <v>0</v>
          </cell>
          <cell r="V128">
            <v>0</v>
          </cell>
          <cell r="W128">
            <v>28.902000000000001</v>
          </cell>
          <cell r="X128">
            <v>30.803000000000001</v>
          </cell>
          <cell r="Y128">
            <v>3376483.56</v>
          </cell>
          <cell r="Z128">
            <v>999917.34384000034</v>
          </cell>
        </row>
        <row r="129">
          <cell r="D129">
            <v>192543040</v>
          </cell>
          <cell r="E129">
            <v>0</v>
          </cell>
          <cell r="F129">
            <v>192543040</v>
          </cell>
          <cell r="G129">
            <v>5969</v>
          </cell>
          <cell r="H129">
            <v>21.643000000000001</v>
          </cell>
          <cell r="I129">
            <v>5.7149999999999999</v>
          </cell>
          <cell r="J129">
            <v>15.928000000000001</v>
          </cell>
          <cell r="K129">
            <v>0</v>
          </cell>
          <cell r="L129">
            <v>0</v>
          </cell>
          <cell r="M129">
            <v>0</v>
          </cell>
          <cell r="N129">
            <v>0</v>
          </cell>
          <cell r="O129">
            <v>7.06</v>
          </cell>
          <cell r="P129">
            <v>3.1009999999999999E-2</v>
          </cell>
          <cell r="Q129">
            <v>23.019010000000002</v>
          </cell>
          <cell r="R129">
            <v>6.2320000000000002</v>
          </cell>
          <cell r="S129">
            <v>0</v>
          </cell>
          <cell r="T129">
            <v>0</v>
          </cell>
          <cell r="U129">
            <v>0</v>
          </cell>
          <cell r="V129">
            <v>0</v>
          </cell>
          <cell r="W129">
            <v>29.251010000000001</v>
          </cell>
          <cell r="X129">
            <v>22.949000000000002</v>
          </cell>
          <cell r="Y129">
            <v>4692918.58</v>
          </cell>
          <cell r="Z129">
            <v>1426404.7788799999</v>
          </cell>
        </row>
        <row r="130">
          <cell r="D130">
            <v>231662113</v>
          </cell>
          <cell r="E130">
            <v>0</v>
          </cell>
          <cell r="F130">
            <v>231662113</v>
          </cell>
          <cell r="G130">
            <v>3653.84</v>
          </cell>
          <cell r="H130">
            <v>27</v>
          </cell>
          <cell r="I130">
            <v>6.3380000000000001</v>
          </cell>
          <cell r="J130">
            <v>20.661999999999999</v>
          </cell>
          <cell r="K130">
            <v>0</v>
          </cell>
          <cell r="L130">
            <v>0</v>
          </cell>
          <cell r="M130">
            <v>0</v>
          </cell>
          <cell r="N130">
            <v>0</v>
          </cell>
          <cell r="O130">
            <v>3.1869999999999998</v>
          </cell>
          <cell r="P130">
            <v>1.6E-2</v>
          </cell>
          <cell r="Q130">
            <v>23.864999999999998</v>
          </cell>
          <cell r="R130">
            <v>4.51</v>
          </cell>
          <cell r="S130">
            <v>0</v>
          </cell>
          <cell r="T130">
            <v>0</v>
          </cell>
          <cell r="U130">
            <v>0</v>
          </cell>
          <cell r="V130">
            <v>0</v>
          </cell>
          <cell r="W130">
            <v>28.375</v>
          </cell>
          <cell r="X130">
            <v>34.058</v>
          </cell>
          <cell r="Y130">
            <v>8647209.6099999994</v>
          </cell>
          <cell r="Z130">
            <v>3445547.0411939994</v>
          </cell>
        </row>
        <row r="131">
          <cell r="D131">
            <v>616413089</v>
          </cell>
          <cell r="E131">
            <v>0</v>
          </cell>
          <cell r="F131">
            <v>616413089</v>
          </cell>
          <cell r="G131">
            <v>24485.64</v>
          </cell>
          <cell r="H131">
            <v>12.173</v>
          </cell>
          <cell r="I131">
            <v>0</v>
          </cell>
          <cell r="J131">
            <v>12.173</v>
          </cell>
          <cell r="K131">
            <v>0</v>
          </cell>
          <cell r="L131">
            <v>0</v>
          </cell>
          <cell r="M131">
            <v>0.89400000000000002</v>
          </cell>
          <cell r="N131">
            <v>0</v>
          </cell>
          <cell r="O131">
            <v>3.0859999999999999</v>
          </cell>
          <cell r="P131">
            <v>0.04</v>
          </cell>
          <cell r="Q131">
            <v>16.193000000000001</v>
          </cell>
          <cell r="R131">
            <v>1.014</v>
          </cell>
          <cell r="S131">
            <v>0</v>
          </cell>
          <cell r="T131">
            <v>0</v>
          </cell>
          <cell r="U131">
            <v>0</v>
          </cell>
          <cell r="V131">
            <v>0</v>
          </cell>
          <cell r="W131">
            <v>17.207000000000001</v>
          </cell>
          <cell r="X131">
            <v>9.5250000000000004</v>
          </cell>
          <cell r="Y131">
            <v>6721729.6699999999</v>
          </cell>
          <cell r="Z131">
            <v>1.1641532182693481E-10</v>
          </cell>
        </row>
        <row r="132">
          <cell r="D132">
            <v>82190030</v>
          </cell>
          <cell r="E132">
            <v>0</v>
          </cell>
          <cell r="F132">
            <v>82190030</v>
          </cell>
          <cell r="G132">
            <v>6158.75</v>
          </cell>
          <cell r="H132">
            <v>27</v>
          </cell>
          <cell r="I132">
            <v>0</v>
          </cell>
          <cell r="J132">
            <v>27</v>
          </cell>
          <cell r="K132">
            <v>0</v>
          </cell>
          <cell r="L132">
            <v>0</v>
          </cell>
          <cell r="M132">
            <v>0</v>
          </cell>
          <cell r="N132">
            <v>0</v>
          </cell>
          <cell r="O132">
            <v>7</v>
          </cell>
          <cell r="P132">
            <v>7.4999999999999997E-2</v>
          </cell>
          <cell r="Q132">
            <v>34.075000000000003</v>
          </cell>
          <cell r="R132">
            <v>3.31</v>
          </cell>
          <cell r="S132">
            <v>0</v>
          </cell>
          <cell r="T132">
            <v>0</v>
          </cell>
          <cell r="U132">
            <v>0</v>
          </cell>
          <cell r="V132">
            <v>0</v>
          </cell>
          <cell r="W132">
            <v>37.384999999999998</v>
          </cell>
          <cell r="X132">
            <v>75.903000000000006</v>
          </cell>
          <cell r="Y132">
            <v>6642141.8300000001</v>
          </cell>
          <cell r="Z132">
            <v>4173238.3499999996</v>
          </cell>
        </row>
        <row r="133">
          <cell r="D133">
            <v>35127796</v>
          </cell>
          <cell r="E133">
            <v>0</v>
          </cell>
          <cell r="F133">
            <v>35127796</v>
          </cell>
          <cell r="G133">
            <v>3478</v>
          </cell>
          <cell r="H133">
            <v>27</v>
          </cell>
          <cell r="I133">
            <v>0</v>
          </cell>
          <cell r="J133">
            <v>27</v>
          </cell>
          <cell r="K133">
            <v>0</v>
          </cell>
          <cell r="L133">
            <v>0</v>
          </cell>
          <cell r="M133">
            <v>0</v>
          </cell>
          <cell r="N133">
            <v>0</v>
          </cell>
          <cell r="O133">
            <v>5</v>
          </cell>
          <cell r="P133">
            <v>9.9000000000000005E-2</v>
          </cell>
          <cell r="Q133">
            <v>32.098999999999997</v>
          </cell>
          <cell r="R133">
            <v>7.2039999999999997</v>
          </cell>
          <cell r="S133">
            <v>0</v>
          </cell>
          <cell r="T133">
            <v>0</v>
          </cell>
          <cell r="U133">
            <v>0</v>
          </cell>
          <cell r="V133">
            <v>0</v>
          </cell>
          <cell r="W133">
            <v>39.302999999999997</v>
          </cell>
          <cell r="X133">
            <v>106.164</v>
          </cell>
          <cell r="Y133">
            <v>3980154.14</v>
          </cell>
          <cell r="Z133">
            <v>2925947.878</v>
          </cell>
        </row>
        <row r="134">
          <cell r="D134">
            <v>5353427630</v>
          </cell>
          <cell r="E134">
            <v>0</v>
          </cell>
          <cell r="F134">
            <v>5353427630</v>
          </cell>
          <cell r="G134">
            <v>23095.46</v>
          </cell>
          <cell r="H134">
            <v>4.4119999999999999</v>
          </cell>
          <cell r="I134">
            <v>0</v>
          </cell>
          <cell r="J134">
            <v>4.0069999999999997</v>
          </cell>
          <cell r="K134">
            <v>0.17299999999999999</v>
          </cell>
          <cell r="L134">
            <v>0.23200000000000001</v>
          </cell>
          <cell r="M134">
            <v>0.13300000000000001</v>
          </cell>
          <cell r="N134">
            <v>0</v>
          </cell>
          <cell r="O134">
            <v>1.2490000000000001</v>
          </cell>
          <cell r="P134">
            <v>4.0000000000000001E-3</v>
          </cell>
          <cell r="Q134">
            <v>5.798</v>
          </cell>
          <cell r="R134">
            <v>1.494</v>
          </cell>
          <cell r="S134">
            <v>0</v>
          </cell>
          <cell r="T134">
            <v>0</v>
          </cell>
          <cell r="U134">
            <v>0</v>
          </cell>
          <cell r="V134">
            <v>0</v>
          </cell>
          <cell r="W134">
            <v>7.2919999999999998</v>
          </cell>
          <cell r="X134">
            <v>3.7240000000000002</v>
          </cell>
          <cell r="Y134">
            <v>22022860.16</v>
          </cell>
          <cell r="Z134">
            <v>0</v>
          </cell>
        </row>
        <row r="135">
          <cell r="D135">
            <v>17324312</v>
          </cell>
          <cell r="E135">
            <v>0</v>
          </cell>
          <cell r="F135">
            <v>17324312</v>
          </cell>
          <cell r="G135">
            <v>3868</v>
          </cell>
          <cell r="H135">
            <v>27</v>
          </cell>
          <cell r="I135">
            <v>0</v>
          </cell>
          <cell r="J135">
            <v>27</v>
          </cell>
          <cell r="K135">
            <v>0</v>
          </cell>
          <cell r="L135">
            <v>0</v>
          </cell>
          <cell r="M135">
            <v>0</v>
          </cell>
          <cell r="N135">
            <v>0</v>
          </cell>
          <cell r="O135">
            <v>0</v>
          </cell>
          <cell r="P135">
            <v>0.219</v>
          </cell>
          <cell r="Q135">
            <v>27.219000000000001</v>
          </cell>
          <cell r="R135">
            <v>0</v>
          </cell>
          <cell r="S135">
            <v>0</v>
          </cell>
          <cell r="T135">
            <v>0</v>
          </cell>
          <cell r="U135">
            <v>0</v>
          </cell>
          <cell r="V135">
            <v>0</v>
          </cell>
          <cell r="W135">
            <v>27.219000000000001</v>
          </cell>
          <cell r="X135">
            <v>190.959</v>
          </cell>
          <cell r="Y135">
            <v>3302879.4</v>
          </cell>
          <cell r="Z135">
            <v>2769736.5459999996</v>
          </cell>
        </row>
        <row r="136">
          <cell r="D136">
            <v>94321259</v>
          </cell>
          <cell r="E136">
            <v>3602894</v>
          </cell>
          <cell r="F136">
            <v>90718365</v>
          </cell>
          <cell r="G136">
            <v>11870</v>
          </cell>
          <cell r="H136">
            <v>27</v>
          </cell>
          <cell r="I136">
            <v>4.4050000000000002</v>
          </cell>
          <cell r="J136">
            <v>22.594999999999999</v>
          </cell>
          <cell r="K136">
            <v>0</v>
          </cell>
          <cell r="L136">
            <v>0</v>
          </cell>
          <cell r="M136">
            <v>0</v>
          </cell>
          <cell r="N136">
            <v>0</v>
          </cell>
          <cell r="O136">
            <v>0</v>
          </cell>
          <cell r="P136">
            <v>0.13100000000000001</v>
          </cell>
          <cell r="Q136">
            <v>22.725999999999999</v>
          </cell>
          <cell r="R136">
            <v>3.5830000000000002</v>
          </cell>
          <cell r="S136">
            <v>0</v>
          </cell>
          <cell r="T136">
            <v>0</v>
          </cell>
          <cell r="U136">
            <v>0</v>
          </cell>
          <cell r="V136">
            <v>0</v>
          </cell>
          <cell r="W136">
            <v>26.309000000000001</v>
          </cell>
          <cell r="X136">
            <v>160.01400000000001</v>
          </cell>
          <cell r="Y136">
            <v>15628492.789999999</v>
          </cell>
          <cell r="Z136">
            <v>13269885.002824999</v>
          </cell>
        </row>
        <row r="137">
          <cell r="D137">
            <v>28860778</v>
          </cell>
          <cell r="E137">
            <v>0</v>
          </cell>
          <cell r="F137">
            <v>28860778</v>
          </cell>
          <cell r="G137">
            <v>5511</v>
          </cell>
          <cell r="H137">
            <v>27</v>
          </cell>
          <cell r="I137">
            <v>0</v>
          </cell>
          <cell r="J137">
            <v>27</v>
          </cell>
          <cell r="K137">
            <v>0</v>
          </cell>
          <cell r="L137">
            <v>0</v>
          </cell>
          <cell r="M137">
            <v>0</v>
          </cell>
          <cell r="N137">
            <v>0</v>
          </cell>
          <cell r="O137">
            <v>0</v>
          </cell>
          <cell r="P137">
            <v>0.191</v>
          </cell>
          <cell r="Q137">
            <v>27.190999999999999</v>
          </cell>
          <cell r="R137">
            <v>8.7620000000000005</v>
          </cell>
          <cell r="S137">
            <v>0</v>
          </cell>
          <cell r="T137">
            <v>0</v>
          </cell>
          <cell r="U137">
            <v>0</v>
          </cell>
          <cell r="V137">
            <v>0</v>
          </cell>
          <cell r="W137">
            <v>35.953000000000003</v>
          </cell>
          <cell r="X137">
            <v>122.26300000000001</v>
          </cell>
          <cell r="Y137">
            <v>3720996.57</v>
          </cell>
          <cell r="Z137">
            <v>2828005.014</v>
          </cell>
        </row>
        <row r="138">
          <cell r="D138">
            <v>13310629</v>
          </cell>
          <cell r="E138">
            <v>0</v>
          </cell>
          <cell r="F138">
            <v>13310629</v>
          </cell>
          <cell r="G138">
            <v>2087.88</v>
          </cell>
          <cell r="H138">
            <v>27</v>
          </cell>
          <cell r="I138">
            <v>0</v>
          </cell>
          <cell r="J138">
            <v>27</v>
          </cell>
          <cell r="K138">
            <v>0</v>
          </cell>
          <cell r="L138">
            <v>0</v>
          </cell>
          <cell r="M138">
            <v>0</v>
          </cell>
          <cell r="N138">
            <v>0</v>
          </cell>
          <cell r="O138">
            <v>0</v>
          </cell>
          <cell r="P138">
            <v>0.157</v>
          </cell>
          <cell r="Q138">
            <v>27.157</v>
          </cell>
          <cell r="R138">
            <v>0</v>
          </cell>
          <cell r="S138">
            <v>0</v>
          </cell>
          <cell r="T138">
            <v>0</v>
          </cell>
          <cell r="U138">
            <v>0</v>
          </cell>
          <cell r="V138">
            <v>0</v>
          </cell>
          <cell r="W138">
            <v>27.157</v>
          </cell>
          <cell r="X138">
            <v>257.697</v>
          </cell>
          <cell r="Y138">
            <v>3710859.8</v>
          </cell>
          <cell r="Z138">
            <v>3303204.5769999996</v>
          </cell>
        </row>
        <row r="139">
          <cell r="D139">
            <v>1311018221</v>
          </cell>
          <cell r="E139">
            <v>78329032</v>
          </cell>
          <cell r="F139">
            <v>1232689189</v>
          </cell>
          <cell r="G139">
            <v>945854.64</v>
          </cell>
          <cell r="H139">
            <v>27</v>
          </cell>
          <cell r="I139">
            <v>0</v>
          </cell>
          <cell r="J139">
            <v>27</v>
          </cell>
          <cell r="K139">
            <v>0</v>
          </cell>
          <cell r="L139">
            <v>0</v>
          </cell>
          <cell r="M139">
            <v>0</v>
          </cell>
          <cell r="N139">
            <v>0</v>
          </cell>
          <cell r="O139">
            <v>0</v>
          </cell>
          <cell r="P139">
            <v>0.76700000000000002</v>
          </cell>
          <cell r="Q139">
            <v>27.766999999999999</v>
          </cell>
          <cell r="R139">
            <v>13.7</v>
          </cell>
          <cell r="S139">
            <v>0</v>
          </cell>
          <cell r="T139">
            <v>0</v>
          </cell>
          <cell r="U139">
            <v>0</v>
          </cell>
          <cell r="V139">
            <v>0</v>
          </cell>
          <cell r="W139">
            <v>41.466999999999999</v>
          </cell>
          <cell r="X139">
            <v>115.15600000000001</v>
          </cell>
          <cell r="Y139">
            <v>157246913.03</v>
          </cell>
          <cell r="Z139">
            <v>120831850.597</v>
          </cell>
        </row>
        <row r="140">
          <cell r="D140">
            <v>1026232499</v>
          </cell>
          <cell r="E140">
            <v>20516818</v>
          </cell>
          <cell r="F140">
            <v>1005715681</v>
          </cell>
          <cell r="G140">
            <v>185781</v>
          </cell>
          <cell r="H140">
            <v>27</v>
          </cell>
          <cell r="I140">
            <v>0</v>
          </cell>
          <cell r="J140">
            <v>27</v>
          </cell>
          <cell r="K140">
            <v>0</v>
          </cell>
          <cell r="L140">
            <v>0</v>
          </cell>
          <cell r="M140">
            <v>0</v>
          </cell>
          <cell r="N140">
            <v>0</v>
          </cell>
          <cell r="O140">
            <v>0</v>
          </cell>
          <cell r="P140">
            <v>0.185</v>
          </cell>
          <cell r="Q140">
            <v>27.184999999999999</v>
          </cell>
          <cell r="R140">
            <v>12.962999999999999</v>
          </cell>
          <cell r="S140">
            <v>0</v>
          </cell>
          <cell r="T140">
            <v>0</v>
          </cell>
          <cell r="U140">
            <v>0</v>
          </cell>
          <cell r="V140">
            <v>0</v>
          </cell>
          <cell r="W140">
            <v>40.148000000000003</v>
          </cell>
          <cell r="X140">
            <v>95.031999999999996</v>
          </cell>
          <cell r="Y140">
            <v>104121199.39</v>
          </cell>
          <cell r="Z140">
            <v>75028522.403000012</v>
          </cell>
        </row>
        <row r="141">
          <cell r="D141">
            <v>662628890</v>
          </cell>
          <cell r="E141">
            <v>0</v>
          </cell>
          <cell r="F141">
            <v>662628890</v>
          </cell>
          <cell r="G141">
            <v>6.03</v>
          </cell>
          <cell r="H141">
            <v>5.7670000000000003</v>
          </cell>
          <cell r="I141">
            <v>0</v>
          </cell>
          <cell r="J141">
            <v>5.7670000000000003</v>
          </cell>
          <cell r="K141">
            <v>0</v>
          </cell>
          <cell r="L141">
            <v>0</v>
          </cell>
          <cell r="M141">
            <v>0</v>
          </cell>
          <cell r="N141">
            <v>0</v>
          </cell>
          <cell r="O141">
            <v>0.61</v>
          </cell>
          <cell r="P141">
            <v>0</v>
          </cell>
          <cell r="Q141">
            <v>6.3769999999999998</v>
          </cell>
          <cell r="R141">
            <v>6.9420000000000002</v>
          </cell>
          <cell r="S141">
            <v>0</v>
          </cell>
          <cell r="T141">
            <v>0</v>
          </cell>
          <cell r="U141">
            <v>0</v>
          </cell>
          <cell r="V141">
            <v>0</v>
          </cell>
          <cell r="W141">
            <v>13.319000000000001</v>
          </cell>
          <cell r="X141">
            <v>11.077999999999999</v>
          </cell>
          <cell r="Y141">
            <v>7548774.5199999996</v>
          </cell>
          <cell r="Z141">
            <v>3598146.9813699992</v>
          </cell>
        </row>
        <row r="142">
          <cell r="D142">
            <v>352174830</v>
          </cell>
          <cell r="E142">
            <v>0</v>
          </cell>
          <cell r="F142">
            <v>352174830</v>
          </cell>
          <cell r="G142">
            <v>47.36</v>
          </cell>
          <cell r="H142">
            <v>6.1429999999999998</v>
          </cell>
          <cell r="I142">
            <v>1.0269999999999999</v>
          </cell>
          <cell r="J142">
            <v>5.1159999999999997</v>
          </cell>
          <cell r="K142">
            <v>0</v>
          </cell>
          <cell r="L142">
            <v>0</v>
          </cell>
          <cell r="M142">
            <v>1.9059999999999999</v>
          </cell>
          <cell r="N142">
            <v>0</v>
          </cell>
          <cell r="O142">
            <v>2.67</v>
          </cell>
          <cell r="P142">
            <v>0</v>
          </cell>
          <cell r="Q142">
            <v>9.6920000000000002</v>
          </cell>
          <cell r="R142">
            <v>0</v>
          </cell>
          <cell r="S142">
            <v>0.96499999999999997</v>
          </cell>
          <cell r="T142">
            <v>0</v>
          </cell>
          <cell r="U142">
            <v>0</v>
          </cell>
          <cell r="V142">
            <v>0</v>
          </cell>
          <cell r="W142">
            <v>10.657</v>
          </cell>
          <cell r="X142">
            <v>14.731999999999999</v>
          </cell>
          <cell r="Y142">
            <v>5308463.78</v>
          </cell>
          <cell r="Z142">
            <v>3472131.3097200003</v>
          </cell>
        </row>
        <row r="143">
          <cell r="D143">
            <v>111478006</v>
          </cell>
          <cell r="E143">
            <v>0</v>
          </cell>
          <cell r="F143">
            <v>111478006</v>
          </cell>
          <cell r="G143">
            <v>6708.34</v>
          </cell>
          <cell r="H143">
            <v>27</v>
          </cell>
          <cell r="I143">
            <v>7.6920000000000002</v>
          </cell>
          <cell r="J143">
            <v>19.308</v>
          </cell>
          <cell r="K143">
            <v>0</v>
          </cell>
          <cell r="L143">
            <v>0</v>
          </cell>
          <cell r="M143">
            <v>0</v>
          </cell>
          <cell r="N143">
            <v>0</v>
          </cell>
          <cell r="O143">
            <v>9</v>
          </cell>
          <cell r="P143">
            <v>0.06</v>
          </cell>
          <cell r="Q143">
            <v>28.367999999999999</v>
          </cell>
          <cell r="R143">
            <v>11.776999999999999</v>
          </cell>
          <cell r="S143">
            <v>0</v>
          </cell>
          <cell r="T143">
            <v>0</v>
          </cell>
          <cell r="U143">
            <v>0</v>
          </cell>
          <cell r="V143">
            <v>0</v>
          </cell>
          <cell r="W143">
            <v>40.145000000000003</v>
          </cell>
          <cell r="X143">
            <v>39.651000000000003</v>
          </cell>
          <cell r="Y143">
            <v>4963943.09</v>
          </cell>
          <cell r="Z143">
            <v>2578106.4401519997</v>
          </cell>
        </row>
        <row r="144">
          <cell r="D144">
            <v>73085884</v>
          </cell>
          <cell r="E144">
            <v>0</v>
          </cell>
          <cell r="F144">
            <v>73085884</v>
          </cell>
          <cell r="G144">
            <v>9937.7999999999993</v>
          </cell>
          <cell r="H144">
            <v>27</v>
          </cell>
          <cell r="I144">
            <v>0</v>
          </cell>
          <cell r="J144">
            <v>27</v>
          </cell>
          <cell r="K144">
            <v>0</v>
          </cell>
          <cell r="L144">
            <v>0</v>
          </cell>
          <cell r="M144">
            <v>0</v>
          </cell>
          <cell r="N144">
            <v>0</v>
          </cell>
          <cell r="O144">
            <v>2.6680000000000001</v>
          </cell>
          <cell r="P144">
            <v>0.13600000000000001</v>
          </cell>
          <cell r="Q144">
            <v>29.803999999999998</v>
          </cell>
          <cell r="R144">
            <v>7.8970000000000002</v>
          </cell>
          <cell r="S144">
            <v>0</v>
          </cell>
          <cell r="T144">
            <v>0</v>
          </cell>
          <cell r="U144">
            <v>0</v>
          </cell>
          <cell r="V144">
            <v>0</v>
          </cell>
          <cell r="W144">
            <v>37.701000000000001</v>
          </cell>
          <cell r="X144">
            <v>137.733</v>
          </cell>
          <cell r="Y144">
            <v>10939262.02</v>
          </cell>
          <cell r="Z144">
            <v>8697123.6819999982</v>
          </cell>
        </row>
        <row r="145">
          <cell r="D145">
            <v>43507977</v>
          </cell>
          <cell r="E145">
            <v>0</v>
          </cell>
          <cell r="F145">
            <v>43507977</v>
          </cell>
          <cell r="G145">
            <v>0</v>
          </cell>
          <cell r="H145">
            <v>27</v>
          </cell>
          <cell r="I145">
            <v>0</v>
          </cell>
          <cell r="J145">
            <v>27</v>
          </cell>
          <cell r="K145">
            <v>0</v>
          </cell>
          <cell r="L145">
            <v>0</v>
          </cell>
          <cell r="M145">
            <v>0</v>
          </cell>
          <cell r="N145">
            <v>0</v>
          </cell>
          <cell r="O145">
            <v>1.724</v>
          </cell>
          <cell r="P145">
            <v>0</v>
          </cell>
          <cell r="Q145">
            <v>28.724</v>
          </cell>
          <cell r="R145">
            <v>8.9169999999999998</v>
          </cell>
          <cell r="S145">
            <v>0</v>
          </cell>
          <cell r="T145">
            <v>0</v>
          </cell>
          <cell r="U145">
            <v>0</v>
          </cell>
          <cell r="V145">
            <v>0</v>
          </cell>
          <cell r="W145">
            <v>37.640999999999998</v>
          </cell>
          <cell r="X145">
            <v>95.088999999999999</v>
          </cell>
          <cell r="Y145">
            <v>4387336.93</v>
          </cell>
          <cell r="Z145">
            <v>3076004.611</v>
          </cell>
        </row>
        <row r="146">
          <cell r="D146">
            <v>146368670</v>
          </cell>
          <cell r="E146">
            <v>0</v>
          </cell>
          <cell r="F146">
            <v>146368670</v>
          </cell>
          <cell r="G146">
            <v>41140.1</v>
          </cell>
          <cell r="H146">
            <v>27</v>
          </cell>
          <cell r="I146">
            <v>3.4140000000000001</v>
          </cell>
          <cell r="J146">
            <v>23.585999999999999</v>
          </cell>
          <cell r="K146">
            <v>0</v>
          </cell>
          <cell r="L146">
            <v>0</v>
          </cell>
          <cell r="M146">
            <v>0</v>
          </cell>
          <cell r="N146">
            <v>0</v>
          </cell>
          <cell r="O146">
            <v>6.1859999999999999</v>
          </cell>
          <cell r="P146">
            <v>0.28100000000000003</v>
          </cell>
          <cell r="Q146">
            <v>30.053000000000001</v>
          </cell>
          <cell r="R146">
            <v>13.288</v>
          </cell>
          <cell r="S146">
            <v>0</v>
          </cell>
          <cell r="T146">
            <v>0</v>
          </cell>
          <cell r="U146">
            <v>0</v>
          </cell>
          <cell r="V146">
            <v>0</v>
          </cell>
          <cell r="W146">
            <v>43.341000000000001</v>
          </cell>
          <cell r="X146">
            <v>35.36</v>
          </cell>
          <cell r="Y146">
            <v>5436646.9900000002</v>
          </cell>
          <cell r="Z146">
            <v>1774036.1293800005</v>
          </cell>
        </row>
        <row r="147">
          <cell r="D147">
            <v>1810377900</v>
          </cell>
          <cell r="E147">
            <v>93538024</v>
          </cell>
          <cell r="F147">
            <v>1716839876</v>
          </cell>
          <cell r="G147">
            <v>58373</v>
          </cell>
          <cell r="H147">
            <v>9.3989999999999991</v>
          </cell>
          <cell r="I147">
            <v>0</v>
          </cell>
          <cell r="J147">
            <v>6.2629999999999999</v>
          </cell>
          <cell r="K147">
            <v>0</v>
          </cell>
          <cell r="L147">
            <v>0</v>
          </cell>
          <cell r="M147">
            <v>0.62</v>
          </cell>
          <cell r="N147">
            <v>0</v>
          </cell>
          <cell r="O147">
            <v>3.359</v>
          </cell>
          <cell r="P147">
            <v>3.4000000000000002E-2</v>
          </cell>
          <cell r="Q147">
            <v>10.276</v>
          </cell>
          <cell r="R147">
            <v>5.4509999999999996</v>
          </cell>
          <cell r="S147">
            <v>0</v>
          </cell>
          <cell r="T147">
            <v>0</v>
          </cell>
          <cell r="U147">
            <v>1.1459999999999999</v>
          </cell>
          <cell r="V147">
            <v>0</v>
          </cell>
          <cell r="W147">
            <v>16.873000000000001</v>
          </cell>
          <cell r="X147">
            <v>16.143999999999998</v>
          </cell>
          <cell r="Y147">
            <v>27155838.059999999</v>
          </cell>
          <cell r="Z147">
            <v>16280767.935728</v>
          </cell>
        </row>
        <row r="148">
          <cell r="D148">
            <v>132961590</v>
          </cell>
          <cell r="E148">
            <v>0</v>
          </cell>
          <cell r="F148">
            <v>132961590</v>
          </cell>
          <cell r="G148">
            <v>8036.54</v>
          </cell>
          <cell r="H148">
            <v>21.283000000000001</v>
          </cell>
          <cell r="I148">
            <v>0</v>
          </cell>
          <cell r="J148">
            <v>21.283000000000001</v>
          </cell>
          <cell r="K148">
            <v>0</v>
          </cell>
          <cell r="L148">
            <v>0</v>
          </cell>
          <cell r="M148">
            <v>0</v>
          </cell>
          <cell r="N148">
            <v>0</v>
          </cell>
          <cell r="O148">
            <v>8.8610000000000007</v>
          </cell>
          <cell r="P148">
            <v>6.0999999999999999E-2</v>
          </cell>
          <cell r="Q148">
            <v>30.204999999999998</v>
          </cell>
          <cell r="R148">
            <v>0</v>
          </cell>
          <cell r="S148">
            <v>2.0699999999999998</v>
          </cell>
          <cell r="T148">
            <v>0</v>
          </cell>
          <cell r="U148">
            <v>7.0410000000000004</v>
          </cell>
          <cell r="V148">
            <v>0</v>
          </cell>
          <cell r="W148">
            <v>39.316000000000003</v>
          </cell>
          <cell r="X148">
            <v>32.368000000000002</v>
          </cell>
          <cell r="Y148">
            <v>4621231.07</v>
          </cell>
          <cell r="Z148">
            <v>1594245.0200300005</v>
          </cell>
        </row>
        <row r="149">
          <cell r="D149">
            <v>31922569</v>
          </cell>
          <cell r="E149">
            <v>0</v>
          </cell>
          <cell r="F149">
            <v>31922569</v>
          </cell>
          <cell r="G149">
            <v>0</v>
          </cell>
          <cell r="H149">
            <v>27</v>
          </cell>
          <cell r="I149">
            <v>0.442</v>
          </cell>
          <cell r="J149">
            <v>26.558</v>
          </cell>
          <cell r="K149">
            <v>0</v>
          </cell>
          <cell r="L149">
            <v>0</v>
          </cell>
          <cell r="M149">
            <v>0</v>
          </cell>
          <cell r="N149">
            <v>0</v>
          </cell>
          <cell r="O149">
            <v>0</v>
          </cell>
          <cell r="P149">
            <v>0</v>
          </cell>
          <cell r="Q149">
            <v>26.558</v>
          </cell>
          <cell r="R149">
            <v>9.0839999999999996</v>
          </cell>
          <cell r="S149">
            <v>0</v>
          </cell>
          <cell r="T149">
            <v>0</v>
          </cell>
          <cell r="U149">
            <v>0</v>
          </cell>
          <cell r="V149">
            <v>0</v>
          </cell>
          <cell r="W149">
            <v>35.642000000000003</v>
          </cell>
          <cell r="X149">
            <v>86.236999999999995</v>
          </cell>
          <cell r="Y149">
            <v>3121706.87</v>
          </cell>
          <cell r="Z149">
            <v>2173353.0224980004</v>
          </cell>
        </row>
        <row r="150">
          <cell r="D150">
            <v>43836381</v>
          </cell>
          <cell r="E150">
            <v>0</v>
          </cell>
          <cell r="F150">
            <v>43836381</v>
          </cell>
          <cell r="G150">
            <v>6423.2</v>
          </cell>
          <cell r="H150">
            <v>27</v>
          </cell>
          <cell r="I150">
            <v>0</v>
          </cell>
          <cell r="J150">
            <v>27</v>
          </cell>
          <cell r="K150">
            <v>0</v>
          </cell>
          <cell r="L150">
            <v>0</v>
          </cell>
          <cell r="M150">
            <v>0</v>
          </cell>
          <cell r="N150">
            <v>0</v>
          </cell>
          <cell r="O150">
            <v>4.5620000000000003</v>
          </cell>
          <cell r="P150">
            <v>0.14699999999999999</v>
          </cell>
          <cell r="Q150">
            <v>31.709</v>
          </cell>
          <cell r="R150">
            <v>9.1</v>
          </cell>
          <cell r="S150">
            <v>0</v>
          </cell>
          <cell r="T150">
            <v>0</v>
          </cell>
          <cell r="U150">
            <v>0</v>
          </cell>
          <cell r="V150">
            <v>0</v>
          </cell>
          <cell r="W150">
            <v>40.808999999999997</v>
          </cell>
          <cell r="X150">
            <v>76.787999999999997</v>
          </cell>
          <cell r="Y150">
            <v>3785293.44</v>
          </cell>
          <cell r="Z150">
            <v>2475460.0129999998</v>
          </cell>
        </row>
        <row r="151">
          <cell r="D151">
            <v>41140841</v>
          </cell>
          <cell r="E151">
            <v>0</v>
          </cell>
          <cell r="F151">
            <v>41140841</v>
          </cell>
          <cell r="G151">
            <v>4874.3999999999996</v>
          </cell>
          <cell r="H151">
            <v>27</v>
          </cell>
          <cell r="I151">
            <v>0</v>
          </cell>
          <cell r="J151">
            <v>27</v>
          </cell>
          <cell r="K151">
            <v>0</v>
          </cell>
          <cell r="L151">
            <v>0</v>
          </cell>
          <cell r="M151">
            <v>0</v>
          </cell>
          <cell r="N151">
            <v>0</v>
          </cell>
          <cell r="O151">
            <v>0</v>
          </cell>
          <cell r="P151">
            <v>0.11799999999999999</v>
          </cell>
          <cell r="Q151">
            <v>27.117999999999999</v>
          </cell>
          <cell r="R151">
            <v>10.417</v>
          </cell>
          <cell r="S151">
            <v>0</v>
          </cell>
          <cell r="T151">
            <v>0</v>
          </cell>
          <cell r="U151">
            <v>0</v>
          </cell>
          <cell r="V151">
            <v>0</v>
          </cell>
          <cell r="W151">
            <v>37.534999999999997</v>
          </cell>
          <cell r="X151">
            <v>160.63999999999999</v>
          </cell>
          <cell r="Y151">
            <v>7055011.7599999998</v>
          </cell>
          <cell r="Z151">
            <v>5765704.5529999994</v>
          </cell>
        </row>
        <row r="152">
          <cell r="D152">
            <v>74138172</v>
          </cell>
          <cell r="E152">
            <v>0</v>
          </cell>
          <cell r="F152">
            <v>74138172</v>
          </cell>
          <cell r="G152">
            <v>57.06</v>
          </cell>
          <cell r="H152">
            <v>15.009</v>
          </cell>
          <cell r="I152">
            <v>1.044</v>
          </cell>
          <cell r="J152">
            <v>13.965</v>
          </cell>
          <cell r="K152">
            <v>0</v>
          </cell>
          <cell r="L152">
            <v>0</v>
          </cell>
          <cell r="M152">
            <v>0.26800000000000002</v>
          </cell>
          <cell r="N152">
            <v>0</v>
          </cell>
          <cell r="O152">
            <v>0</v>
          </cell>
          <cell r="P152">
            <v>1E-3</v>
          </cell>
          <cell r="Q152">
            <v>14.234</v>
          </cell>
          <cell r="R152">
            <v>1.25</v>
          </cell>
          <cell r="S152">
            <v>0</v>
          </cell>
          <cell r="T152">
            <v>0</v>
          </cell>
          <cell r="U152">
            <v>0</v>
          </cell>
          <cell r="V152">
            <v>0</v>
          </cell>
          <cell r="W152">
            <v>15.484</v>
          </cell>
          <cell r="X152">
            <v>23.013999999999999</v>
          </cell>
          <cell r="Y152">
            <v>1711838.53</v>
          </cell>
          <cell r="Z152">
            <v>635529.06802000001</v>
          </cell>
        </row>
        <row r="153">
          <cell r="D153">
            <v>1212428933</v>
          </cell>
          <cell r="E153">
            <v>0</v>
          </cell>
          <cell r="F153">
            <v>1212428933</v>
          </cell>
          <cell r="G153">
            <v>131319.85</v>
          </cell>
          <cell r="H153">
            <v>7.2809999999999997</v>
          </cell>
          <cell r="I153">
            <v>0</v>
          </cell>
          <cell r="J153">
            <v>7.2809999999999997</v>
          </cell>
          <cell r="K153">
            <v>0</v>
          </cell>
          <cell r="L153">
            <v>0</v>
          </cell>
          <cell r="M153">
            <v>0</v>
          </cell>
          <cell r="N153">
            <v>0</v>
          </cell>
          <cell r="O153">
            <v>2.9359999999999999</v>
          </cell>
          <cell r="P153">
            <v>0.108</v>
          </cell>
          <cell r="Q153">
            <v>10.324999999999999</v>
          </cell>
          <cell r="R153">
            <v>3.1840000000000002</v>
          </cell>
          <cell r="S153">
            <v>0.24399999999999999</v>
          </cell>
          <cell r="T153">
            <v>0</v>
          </cell>
          <cell r="U153">
            <v>0</v>
          </cell>
          <cell r="V153">
            <v>0</v>
          </cell>
          <cell r="W153">
            <v>13.753</v>
          </cell>
          <cell r="X153">
            <v>9.9</v>
          </cell>
          <cell r="Y153">
            <v>12292600.369999999</v>
          </cell>
          <cell r="Z153">
            <v>3142682.2188269999</v>
          </cell>
        </row>
        <row r="154">
          <cell r="D154">
            <v>53202541</v>
          </cell>
          <cell r="E154">
            <v>0</v>
          </cell>
          <cell r="F154">
            <v>53202541</v>
          </cell>
          <cell r="G154">
            <v>3736.71</v>
          </cell>
          <cell r="H154">
            <v>16.998999999999999</v>
          </cell>
          <cell r="I154">
            <v>10.089</v>
          </cell>
          <cell r="J154">
            <v>6.91</v>
          </cell>
          <cell r="K154">
            <v>0</v>
          </cell>
          <cell r="L154">
            <v>0</v>
          </cell>
          <cell r="M154">
            <v>0</v>
          </cell>
          <cell r="N154">
            <v>0</v>
          </cell>
          <cell r="O154">
            <v>8.0749999999999993</v>
          </cell>
          <cell r="P154">
            <v>7.0000000000000007E-2</v>
          </cell>
          <cell r="Q154">
            <v>15.055</v>
          </cell>
          <cell r="R154">
            <v>0</v>
          </cell>
          <cell r="S154">
            <v>0</v>
          </cell>
          <cell r="T154">
            <v>0</v>
          </cell>
          <cell r="U154">
            <v>0</v>
          </cell>
          <cell r="V154">
            <v>0</v>
          </cell>
          <cell r="W154">
            <v>15.055</v>
          </cell>
          <cell r="X154">
            <v>58.061999999999998</v>
          </cell>
          <cell r="Y154">
            <v>3309004.42</v>
          </cell>
          <cell r="Z154">
            <v>2922722.3816899997</v>
          </cell>
        </row>
        <row r="155">
          <cell r="D155">
            <v>30080423</v>
          </cell>
          <cell r="E155">
            <v>0</v>
          </cell>
          <cell r="F155">
            <v>30080423</v>
          </cell>
          <cell r="G155">
            <v>29118</v>
          </cell>
          <cell r="H155">
            <v>27</v>
          </cell>
          <cell r="I155">
            <v>0</v>
          </cell>
          <cell r="J155">
            <v>27</v>
          </cell>
          <cell r="K155">
            <v>0</v>
          </cell>
          <cell r="L155">
            <v>0</v>
          </cell>
          <cell r="M155">
            <v>0</v>
          </cell>
          <cell r="N155">
            <v>0</v>
          </cell>
          <cell r="O155">
            <v>0</v>
          </cell>
          <cell r="P155">
            <v>0.96799999999999997</v>
          </cell>
          <cell r="Q155">
            <v>27.968</v>
          </cell>
          <cell r="R155">
            <v>13.63</v>
          </cell>
          <cell r="S155">
            <v>0</v>
          </cell>
          <cell r="T155">
            <v>0</v>
          </cell>
          <cell r="U155">
            <v>0</v>
          </cell>
          <cell r="V155">
            <v>0</v>
          </cell>
          <cell r="W155">
            <v>41.597999999999999</v>
          </cell>
          <cell r="X155">
            <v>191.75200000000001</v>
          </cell>
          <cell r="Y155">
            <v>8203951.3600000003</v>
          </cell>
          <cell r="Z155">
            <v>7291690.5389999999</v>
          </cell>
        </row>
        <row r="156">
          <cell r="D156">
            <v>27394549</v>
          </cell>
          <cell r="E156">
            <v>0</v>
          </cell>
          <cell r="F156">
            <v>27394549</v>
          </cell>
          <cell r="G156">
            <v>8684</v>
          </cell>
          <cell r="H156">
            <v>27</v>
          </cell>
          <cell r="I156">
            <v>1.0580000000000001</v>
          </cell>
          <cell r="J156">
            <v>25.942</v>
          </cell>
          <cell r="K156">
            <v>0</v>
          </cell>
          <cell r="L156">
            <v>0</v>
          </cell>
          <cell r="M156">
            <v>2.71</v>
          </cell>
          <cell r="N156">
            <v>0</v>
          </cell>
          <cell r="O156">
            <v>0</v>
          </cell>
          <cell r="P156">
            <v>0.317</v>
          </cell>
          <cell r="Q156">
            <v>28.969000000000001</v>
          </cell>
          <cell r="R156">
            <v>13</v>
          </cell>
          <cell r="S156">
            <v>0</v>
          </cell>
          <cell r="T156">
            <v>0</v>
          </cell>
          <cell r="U156">
            <v>0</v>
          </cell>
          <cell r="V156">
            <v>0</v>
          </cell>
          <cell r="W156">
            <v>41.969000000000001</v>
          </cell>
          <cell r="X156">
            <v>84.903999999999996</v>
          </cell>
          <cell r="Y156">
            <v>2521880.7200000002</v>
          </cell>
          <cell r="Z156">
            <v>1724256.5298420002</v>
          </cell>
        </row>
        <row r="157">
          <cell r="D157">
            <v>3443140260</v>
          </cell>
          <cell r="E157">
            <v>61950660</v>
          </cell>
          <cell r="F157">
            <v>3381189600</v>
          </cell>
          <cell r="G157">
            <v>43585</v>
          </cell>
          <cell r="H157">
            <v>10.666</v>
          </cell>
          <cell r="I157">
            <v>0</v>
          </cell>
          <cell r="J157">
            <v>10.666</v>
          </cell>
          <cell r="K157">
            <v>0</v>
          </cell>
          <cell r="L157">
            <v>0</v>
          </cell>
          <cell r="M157">
            <v>0.436</v>
          </cell>
          <cell r="N157">
            <v>0</v>
          </cell>
          <cell r="O157">
            <v>1.8140000000000001</v>
          </cell>
          <cell r="P157">
            <v>1.2999999999999999E-2</v>
          </cell>
          <cell r="Q157">
            <v>12.929</v>
          </cell>
          <cell r="R157">
            <v>2.7149999999999999</v>
          </cell>
          <cell r="S157">
            <v>0.26</v>
          </cell>
          <cell r="T157">
            <v>0</v>
          </cell>
          <cell r="U157">
            <v>1</v>
          </cell>
          <cell r="V157">
            <v>0</v>
          </cell>
          <cell r="W157">
            <v>16.904</v>
          </cell>
          <cell r="X157">
            <v>10.648</v>
          </cell>
          <cell r="Y157">
            <v>38950284.060000002</v>
          </cell>
          <cell r="Z157">
            <v>1408539.8964000053</v>
          </cell>
        </row>
        <row r="158">
          <cell r="D158">
            <v>430836860</v>
          </cell>
          <cell r="E158">
            <v>0</v>
          </cell>
          <cell r="F158">
            <v>430836860</v>
          </cell>
          <cell r="G158">
            <v>4308</v>
          </cell>
          <cell r="H158">
            <v>9.6240000000000006</v>
          </cell>
          <cell r="I158">
            <v>0</v>
          </cell>
          <cell r="J158">
            <v>9.2579999999999991</v>
          </cell>
          <cell r="K158">
            <v>0.36599999999999999</v>
          </cell>
          <cell r="L158">
            <v>0</v>
          </cell>
          <cell r="M158">
            <v>0</v>
          </cell>
          <cell r="N158">
            <v>0</v>
          </cell>
          <cell r="O158">
            <v>1.327</v>
          </cell>
          <cell r="P158">
            <v>0.01</v>
          </cell>
          <cell r="Q158">
            <v>10.961</v>
          </cell>
          <cell r="R158">
            <v>2.3250000000000002</v>
          </cell>
          <cell r="S158">
            <v>0</v>
          </cell>
          <cell r="T158">
            <v>0</v>
          </cell>
          <cell r="U158">
            <v>0</v>
          </cell>
          <cell r="V158">
            <v>0</v>
          </cell>
          <cell r="W158">
            <v>13.286</v>
          </cell>
          <cell r="X158">
            <v>9.2579999999999991</v>
          </cell>
          <cell r="Y158">
            <v>4468822.58</v>
          </cell>
          <cell r="Z158">
            <v>3.3000005641952157E-3</v>
          </cell>
        </row>
        <row r="159">
          <cell r="D159">
            <v>425351880</v>
          </cell>
          <cell r="E159">
            <v>12695714</v>
          </cell>
          <cell r="F159">
            <v>412656166</v>
          </cell>
          <cell r="G159">
            <v>8055</v>
          </cell>
          <cell r="H159">
            <v>27</v>
          </cell>
          <cell r="I159">
            <v>1.45</v>
          </cell>
          <cell r="J159">
            <v>25.55</v>
          </cell>
          <cell r="K159">
            <v>0</v>
          </cell>
          <cell r="L159">
            <v>0</v>
          </cell>
          <cell r="M159">
            <v>0</v>
          </cell>
          <cell r="N159">
            <v>0</v>
          </cell>
          <cell r="O159">
            <v>2.6659999999999999</v>
          </cell>
          <cell r="P159">
            <v>0.02</v>
          </cell>
          <cell r="Q159">
            <v>28.236000000000001</v>
          </cell>
          <cell r="R159">
            <v>0</v>
          </cell>
          <cell r="S159">
            <v>0</v>
          </cell>
          <cell r="T159">
            <v>0</v>
          </cell>
          <cell r="U159">
            <v>0</v>
          </cell>
          <cell r="V159">
            <v>0</v>
          </cell>
          <cell r="W159">
            <v>28.236000000000001</v>
          </cell>
          <cell r="X159">
            <v>47.796999999999997</v>
          </cell>
          <cell r="Y159">
            <v>21648521.800000001</v>
          </cell>
          <cell r="Z159">
            <v>10231732.308700001</v>
          </cell>
        </row>
        <row r="160">
          <cell r="D160">
            <v>49472189</v>
          </cell>
          <cell r="E160">
            <v>0</v>
          </cell>
          <cell r="F160">
            <v>49472189</v>
          </cell>
          <cell r="G160">
            <v>7334.23</v>
          </cell>
          <cell r="H160">
            <v>27</v>
          </cell>
          <cell r="I160">
            <v>0</v>
          </cell>
          <cell r="J160">
            <v>27</v>
          </cell>
          <cell r="K160">
            <v>0</v>
          </cell>
          <cell r="L160">
            <v>0</v>
          </cell>
          <cell r="M160">
            <v>0</v>
          </cell>
          <cell r="N160">
            <v>0</v>
          </cell>
          <cell r="O160">
            <v>0</v>
          </cell>
          <cell r="P160">
            <v>0.14099999999999999</v>
          </cell>
          <cell r="Q160">
            <v>27.140999999999998</v>
          </cell>
          <cell r="R160">
            <v>9.86</v>
          </cell>
          <cell r="S160">
            <v>0</v>
          </cell>
          <cell r="T160">
            <v>0</v>
          </cell>
          <cell r="U160">
            <v>0</v>
          </cell>
          <cell r="V160">
            <v>0</v>
          </cell>
          <cell r="W160">
            <v>37.000999999999998</v>
          </cell>
          <cell r="X160">
            <v>99.549000000000007</v>
          </cell>
          <cell r="Y160">
            <v>5141145.6500000004</v>
          </cell>
          <cell r="Z160">
            <v>3656738.2670000005</v>
          </cell>
        </row>
        <row r="161">
          <cell r="D161">
            <v>32866252</v>
          </cell>
          <cell r="E161">
            <v>0</v>
          </cell>
          <cell r="F161">
            <v>32866252</v>
          </cell>
          <cell r="G161">
            <v>4539</v>
          </cell>
          <cell r="H161">
            <v>27</v>
          </cell>
          <cell r="I161">
            <v>9.8190000000000008</v>
          </cell>
          <cell r="J161">
            <v>17.181000000000001</v>
          </cell>
          <cell r="K161">
            <v>0</v>
          </cell>
          <cell r="L161">
            <v>0</v>
          </cell>
          <cell r="M161">
            <v>0.23799999999999999</v>
          </cell>
          <cell r="N161">
            <v>0</v>
          </cell>
          <cell r="O161">
            <v>7.6070000000000002</v>
          </cell>
          <cell r="P161">
            <v>0.13800000000000001</v>
          </cell>
          <cell r="Q161">
            <v>25.164000000000001</v>
          </cell>
          <cell r="R161">
            <v>0</v>
          </cell>
          <cell r="S161">
            <v>0</v>
          </cell>
          <cell r="T161">
            <v>0</v>
          </cell>
          <cell r="U161">
            <v>0</v>
          </cell>
          <cell r="V161">
            <v>0</v>
          </cell>
          <cell r="W161">
            <v>25.164000000000001</v>
          </cell>
          <cell r="X161">
            <v>52.533000000000001</v>
          </cell>
          <cell r="Y161">
            <v>1830828.57</v>
          </cell>
          <cell r="Z161">
            <v>1205060.9443880001</v>
          </cell>
        </row>
        <row r="162">
          <cell r="D162">
            <v>22633247</v>
          </cell>
          <cell r="E162">
            <v>0</v>
          </cell>
          <cell r="F162">
            <v>22633247</v>
          </cell>
          <cell r="G162">
            <v>2491.73</v>
          </cell>
          <cell r="H162">
            <v>27</v>
          </cell>
          <cell r="I162">
            <v>0</v>
          </cell>
          <cell r="J162">
            <v>27</v>
          </cell>
          <cell r="K162">
            <v>0</v>
          </cell>
          <cell r="L162">
            <v>0</v>
          </cell>
          <cell r="M162">
            <v>0</v>
          </cell>
          <cell r="N162">
            <v>0</v>
          </cell>
          <cell r="O162">
            <v>0</v>
          </cell>
          <cell r="P162">
            <v>0</v>
          </cell>
          <cell r="Q162">
            <v>27</v>
          </cell>
          <cell r="R162">
            <v>7.069</v>
          </cell>
          <cell r="S162">
            <v>0</v>
          </cell>
          <cell r="T162">
            <v>0</v>
          </cell>
          <cell r="U162">
            <v>0</v>
          </cell>
          <cell r="V162">
            <v>0</v>
          </cell>
          <cell r="W162">
            <v>34.069000000000003</v>
          </cell>
          <cell r="X162">
            <v>144.59</v>
          </cell>
          <cell r="Y162">
            <v>3407783.14</v>
          </cell>
          <cell r="Z162">
            <v>2730192.4909999999</v>
          </cell>
        </row>
        <row r="163">
          <cell r="D163">
            <v>29505049</v>
          </cell>
          <cell r="E163">
            <v>0</v>
          </cell>
          <cell r="F163">
            <v>29505049</v>
          </cell>
          <cell r="G163">
            <v>0</v>
          </cell>
          <cell r="H163">
            <v>27</v>
          </cell>
          <cell r="I163">
            <v>0</v>
          </cell>
          <cell r="J163">
            <v>27</v>
          </cell>
          <cell r="K163">
            <v>0</v>
          </cell>
          <cell r="L163">
            <v>0</v>
          </cell>
          <cell r="M163">
            <v>0</v>
          </cell>
          <cell r="N163">
            <v>0</v>
          </cell>
          <cell r="O163">
            <v>0</v>
          </cell>
          <cell r="P163">
            <v>0</v>
          </cell>
          <cell r="Q163">
            <v>27</v>
          </cell>
          <cell r="R163">
            <v>0</v>
          </cell>
          <cell r="S163">
            <v>0</v>
          </cell>
          <cell r="T163">
            <v>0</v>
          </cell>
          <cell r="U163">
            <v>0</v>
          </cell>
          <cell r="V163">
            <v>0</v>
          </cell>
          <cell r="W163">
            <v>27</v>
          </cell>
          <cell r="X163">
            <v>82.545000000000002</v>
          </cell>
          <cell r="Y163">
            <v>2538495.66</v>
          </cell>
          <cell r="Z163">
            <v>1674474.4070000004</v>
          </cell>
        </row>
        <row r="164">
          <cell r="D164">
            <v>38019354</v>
          </cell>
          <cell r="E164">
            <v>0</v>
          </cell>
          <cell r="F164">
            <v>38019354</v>
          </cell>
          <cell r="G164">
            <v>4819.58</v>
          </cell>
          <cell r="H164">
            <v>27</v>
          </cell>
          <cell r="I164">
            <v>4.2279999999999998</v>
          </cell>
          <cell r="J164">
            <v>22.771999999999998</v>
          </cell>
          <cell r="K164">
            <v>0</v>
          </cell>
          <cell r="L164">
            <v>0</v>
          </cell>
          <cell r="M164">
            <v>2.024</v>
          </cell>
          <cell r="N164">
            <v>0</v>
          </cell>
          <cell r="O164">
            <v>4.077</v>
          </cell>
          <cell r="P164">
            <v>0.127</v>
          </cell>
          <cell r="Q164">
            <v>29</v>
          </cell>
          <cell r="R164">
            <v>0</v>
          </cell>
          <cell r="S164">
            <v>0</v>
          </cell>
          <cell r="T164">
            <v>0</v>
          </cell>
          <cell r="U164">
            <v>0</v>
          </cell>
          <cell r="V164">
            <v>0</v>
          </cell>
          <cell r="W164">
            <v>29</v>
          </cell>
          <cell r="X164">
            <v>38.994999999999997</v>
          </cell>
          <cell r="Y164">
            <v>1511493.2</v>
          </cell>
          <cell r="Z164">
            <v>539958.49071199994</v>
          </cell>
        </row>
        <row r="165">
          <cell r="D165">
            <v>1693308240</v>
          </cell>
          <cell r="E165">
            <v>312630</v>
          </cell>
          <cell r="F165">
            <v>1692995610</v>
          </cell>
          <cell r="G165">
            <v>592205.01</v>
          </cell>
          <cell r="H165">
            <v>9.6389999999999993</v>
          </cell>
          <cell r="I165">
            <v>0.439</v>
          </cell>
          <cell r="J165">
            <v>9.1999999999999993</v>
          </cell>
          <cell r="K165">
            <v>0</v>
          </cell>
          <cell r="L165">
            <v>0</v>
          </cell>
          <cell r="M165">
            <v>0</v>
          </cell>
          <cell r="N165">
            <v>0</v>
          </cell>
          <cell r="O165">
            <v>2.3050000000000002</v>
          </cell>
          <cell r="P165">
            <v>0.35</v>
          </cell>
          <cell r="Q165">
            <v>11.855</v>
          </cell>
          <cell r="R165">
            <v>1.4470000000000001</v>
          </cell>
          <cell r="S165">
            <v>0</v>
          </cell>
          <cell r="T165">
            <v>0</v>
          </cell>
          <cell r="U165">
            <v>0</v>
          </cell>
          <cell r="V165">
            <v>0</v>
          </cell>
          <cell r="W165">
            <v>13.302</v>
          </cell>
          <cell r="X165">
            <v>10.983000000000001</v>
          </cell>
          <cell r="Y165">
            <v>18815629.719999999</v>
          </cell>
          <cell r="Z165">
            <v>2713518.3779999991</v>
          </cell>
        </row>
        <row r="166">
          <cell r="D166">
            <v>1177966320</v>
          </cell>
          <cell r="E166">
            <v>0</v>
          </cell>
          <cell r="F166">
            <v>1177966320</v>
          </cell>
          <cell r="G166">
            <v>3032</v>
          </cell>
          <cell r="H166">
            <v>22.207999999999998</v>
          </cell>
          <cell r="I166">
            <v>0</v>
          </cell>
          <cell r="J166">
            <v>17.013000000000002</v>
          </cell>
          <cell r="K166">
            <v>0.68</v>
          </cell>
          <cell r="L166">
            <v>4.5149999999999997</v>
          </cell>
          <cell r="M166">
            <v>0</v>
          </cell>
          <cell r="N166">
            <v>0</v>
          </cell>
          <cell r="O166">
            <v>2.2919999999999998</v>
          </cell>
          <cell r="P166">
            <v>3.0000000000000001E-3</v>
          </cell>
          <cell r="Q166">
            <v>24.503</v>
          </cell>
          <cell r="R166">
            <v>8.5969999999999995</v>
          </cell>
          <cell r="S166">
            <v>0</v>
          </cell>
          <cell r="T166">
            <v>0</v>
          </cell>
          <cell r="U166">
            <v>0</v>
          </cell>
          <cell r="V166">
            <v>0</v>
          </cell>
          <cell r="W166">
            <v>33.1</v>
          </cell>
          <cell r="X166">
            <v>17.068999999999999</v>
          </cell>
          <cell r="Y166">
            <v>20852762.07</v>
          </cell>
          <cell r="Z166">
            <v>0</v>
          </cell>
        </row>
        <row r="167">
          <cell r="D167">
            <v>2447818820</v>
          </cell>
          <cell r="E167">
            <v>0</v>
          </cell>
          <cell r="F167">
            <v>2447818820</v>
          </cell>
          <cell r="G167">
            <v>601945</v>
          </cell>
          <cell r="H167">
            <v>10.845000000000001</v>
          </cell>
          <cell r="I167">
            <v>0</v>
          </cell>
          <cell r="J167">
            <v>10.798</v>
          </cell>
          <cell r="K167">
            <v>4.7E-2</v>
          </cell>
          <cell r="L167">
            <v>0</v>
          </cell>
          <cell r="M167">
            <v>1.9E-2</v>
          </cell>
          <cell r="N167">
            <v>0</v>
          </cell>
          <cell r="O167">
            <v>1.8380000000000001</v>
          </cell>
          <cell r="P167">
            <v>0.245</v>
          </cell>
          <cell r="Q167">
            <v>12.946999999999999</v>
          </cell>
          <cell r="R167">
            <v>3.8460000000000001</v>
          </cell>
          <cell r="S167">
            <v>0</v>
          </cell>
          <cell r="T167">
            <v>0</v>
          </cell>
          <cell r="U167">
            <v>0</v>
          </cell>
          <cell r="V167">
            <v>0</v>
          </cell>
          <cell r="W167">
            <v>16.792999999999999</v>
          </cell>
          <cell r="X167">
            <v>10.797000000000001</v>
          </cell>
          <cell r="Y167">
            <v>27302087.760000002</v>
          </cell>
          <cell r="Z167">
            <v>0</v>
          </cell>
        </row>
        <row r="168">
          <cell r="D168">
            <v>2340489110</v>
          </cell>
          <cell r="E168">
            <v>1211110</v>
          </cell>
          <cell r="F168">
            <v>2339278000</v>
          </cell>
          <cell r="G168">
            <v>66250.720000000001</v>
          </cell>
          <cell r="H168">
            <v>27</v>
          </cell>
          <cell r="I168">
            <v>0</v>
          </cell>
          <cell r="J168">
            <v>27</v>
          </cell>
          <cell r="K168">
            <v>0</v>
          </cell>
          <cell r="L168">
            <v>0</v>
          </cell>
          <cell r="M168">
            <v>0</v>
          </cell>
          <cell r="N168">
            <v>0</v>
          </cell>
          <cell r="O168">
            <v>4.7859999999999996</v>
          </cell>
          <cell r="P168">
            <v>2.8000000000000001E-2</v>
          </cell>
          <cell r="Q168">
            <v>31.814</v>
          </cell>
          <cell r="R168">
            <v>12.568</v>
          </cell>
          <cell r="S168">
            <v>0</v>
          </cell>
          <cell r="T168">
            <v>0</v>
          </cell>
          <cell r="U168">
            <v>0</v>
          </cell>
          <cell r="V168">
            <v>0</v>
          </cell>
          <cell r="W168">
            <v>44.381999999999998</v>
          </cell>
          <cell r="X168">
            <v>34.323</v>
          </cell>
          <cell r="Y168">
            <v>82581413.549999997</v>
          </cell>
          <cell r="Z168">
            <v>17696731.979999997</v>
          </cell>
        </row>
        <row r="169">
          <cell r="D169">
            <v>1328352650</v>
          </cell>
          <cell r="E169">
            <v>0</v>
          </cell>
          <cell r="F169">
            <v>1328352650</v>
          </cell>
          <cell r="G169">
            <v>284687.21999999997</v>
          </cell>
          <cell r="H169">
            <v>27</v>
          </cell>
          <cell r="I169">
            <v>5.5860000000000003</v>
          </cell>
          <cell r="J169">
            <v>21.414000000000001</v>
          </cell>
          <cell r="K169">
            <v>0</v>
          </cell>
          <cell r="L169">
            <v>0</v>
          </cell>
          <cell r="M169">
            <v>0</v>
          </cell>
          <cell r="N169">
            <v>0</v>
          </cell>
          <cell r="O169">
            <v>3.387</v>
          </cell>
          <cell r="P169">
            <v>0.214</v>
          </cell>
          <cell r="Q169">
            <v>25.015000000000001</v>
          </cell>
          <cell r="R169">
            <v>8.9730000000000008</v>
          </cell>
          <cell r="S169">
            <v>0</v>
          </cell>
          <cell r="T169">
            <v>0</v>
          </cell>
          <cell r="U169">
            <v>0</v>
          </cell>
          <cell r="V169">
            <v>0</v>
          </cell>
          <cell r="W169">
            <v>33.988</v>
          </cell>
          <cell r="X169">
            <v>28.454999999999998</v>
          </cell>
          <cell r="Y169">
            <v>38600434.630000003</v>
          </cell>
          <cell r="Z169">
            <v>9653248.8029000051</v>
          </cell>
        </row>
        <row r="170">
          <cell r="D170">
            <v>3128585710</v>
          </cell>
          <cell r="E170">
            <v>192933893</v>
          </cell>
          <cell r="F170">
            <v>2935651817</v>
          </cell>
          <cell r="G170">
            <v>115400.65</v>
          </cell>
          <cell r="H170">
            <v>27</v>
          </cell>
          <cell r="I170">
            <v>0</v>
          </cell>
          <cell r="J170">
            <v>27</v>
          </cell>
          <cell r="K170">
            <v>0</v>
          </cell>
          <cell r="L170">
            <v>0</v>
          </cell>
          <cell r="M170">
            <v>0</v>
          </cell>
          <cell r="N170">
            <v>0</v>
          </cell>
          <cell r="O170">
            <v>10</v>
          </cell>
          <cell r="P170">
            <v>0.04</v>
          </cell>
          <cell r="Q170">
            <v>37.04</v>
          </cell>
          <cell r="R170">
            <v>10</v>
          </cell>
          <cell r="S170">
            <v>0</v>
          </cell>
          <cell r="T170">
            <v>0</v>
          </cell>
          <cell r="U170">
            <v>0</v>
          </cell>
          <cell r="V170">
            <v>0</v>
          </cell>
          <cell r="W170">
            <v>47.04</v>
          </cell>
          <cell r="X170">
            <v>77.081000000000003</v>
          </cell>
          <cell r="Y170">
            <v>235937107.69</v>
          </cell>
          <cell r="Z170">
            <v>153345064.08099997</v>
          </cell>
        </row>
        <row r="171">
          <cell r="D171">
            <v>4176082130</v>
          </cell>
          <cell r="E171">
            <v>0</v>
          </cell>
          <cell r="F171">
            <v>4176082130</v>
          </cell>
          <cell r="G171">
            <v>25574.45</v>
          </cell>
          <cell r="H171">
            <v>5.6239999999999997</v>
          </cell>
          <cell r="I171">
            <v>0</v>
          </cell>
          <cell r="J171">
            <v>2.7639999999999998</v>
          </cell>
          <cell r="K171">
            <v>0.14599999999999999</v>
          </cell>
          <cell r="L171">
            <v>2.714</v>
          </cell>
          <cell r="M171">
            <v>0</v>
          </cell>
          <cell r="N171">
            <v>0</v>
          </cell>
          <cell r="O171">
            <v>0.69499999999999995</v>
          </cell>
          <cell r="P171">
            <v>6.0000000000000001E-3</v>
          </cell>
          <cell r="Q171">
            <v>6.3250000000000002</v>
          </cell>
          <cell r="R171">
            <v>0.92400000000000004</v>
          </cell>
          <cell r="S171">
            <v>0</v>
          </cell>
          <cell r="T171">
            <v>0</v>
          </cell>
          <cell r="U171">
            <v>0</v>
          </cell>
          <cell r="V171">
            <v>0</v>
          </cell>
          <cell r="W171">
            <v>7.2489999999999997</v>
          </cell>
          <cell r="X171">
            <v>2.7509999999999999</v>
          </cell>
          <cell r="Y171">
            <v>12131574.09</v>
          </cell>
          <cell r="Z171">
            <v>4.8099999548867345E-3</v>
          </cell>
        </row>
        <row r="172">
          <cell r="D172">
            <v>1775664730</v>
          </cell>
          <cell r="E172">
            <v>46477481</v>
          </cell>
          <cell r="F172">
            <v>1729187249</v>
          </cell>
          <cell r="G172">
            <v>671837.35</v>
          </cell>
          <cell r="H172">
            <v>12.143000000000001</v>
          </cell>
          <cell r="I172">
            <v>0</v>
          </cell>
          <cell r="J172">
            <v>12.143000000000001</v>
          </cell>
          <cell r="K172">
            <v>0</v>
          </cell>
          <cell r="L172">
            <v>0</v>
          </cell>
          <cell r="M172">
            <v>0</v>
          </cell>
          <cell r="N172">
            <v>0</v>
          </cell>
          <cell r="O172">
            <v>1.546</v>
          </cell>
          <cell r="P172">
            <v>0.38900000000000001</v>
          </cell>
          <cell r="Q172">
            <v>14.077999999999999</v>
          </cell>
          <cell r="R172">
            <v>3.1190000000000002</v>
          </cell>
          <cell r="S172">
            <v>0</v>
          </cell>
          <cell r="T172">
            <v>0</v>
          </cell>
          <cell r="U172">
            <v>0</v>
          </cell>
          <cell r="V172">
            <v>0</v>
          </cell>
          <cell r="W172">
            <v>17.196999999999999</v>
          </cell>
          <cell r="X172">
            <v>14.268000000000001</v>
          </cell>
          <cell r="Y172">
            <v>24523397.890000001</v>
          </cell>
          <cell r="Z172">
            <v>2817004.9753930033</v>
          </cell>
        </row>
        <row r="173">
          <cell r="D173">
            <v>574355450</v>
          </cell>
          <cell r="E173">
            <v>0</v>
          </cell>
          <cell r="F173">
            <v>574355450</v>
          </cell>
          <cell r="G173">
            <v>3748</v>
          </cell>
          <cell r="H173">
            <v>27</v>
          </cell>
          <cell r="I173">
            <v>7.12</v>
          </cell>
          <cell r="J173">
            <v>18.315999999999999</v>
          </cell>
          <cell r="K173">
            <v>1.0489999999999999</v>
          </cell>
          <cell r="L173">
            <v>0.51500000000000001</v>
          </cell>
          <cell r="M173">
            <v>0</v>
          </cell>
          <cell r="N173">
            <v>0</v>
          </cell>
          <cell r="O173">
            <v>1.5669999999999999</v>
          </cell>
          <cell r="P173">
            <v>7.0000000000000001E-3</v>
          </cell>
          <cell r="Q173">
            <v>21.454000000000001</v>
          </cell>
          <cell r="R173">
            <v>1.8280000000000001</v>
          </cell>
          <cell r="S173">
            <v>0</v>
          </cell>
          <cell r="T173">
            <v>0</v>
          </cell>
          <cell r="U173">
            <v>0</v>
          </cell>
          <cell r="V173">
            <v>0</v>
          </cell>
          <cell r="W173">
            <v>23.282</v>
          </cell>
          <cell r="X173">
            <v>18.222999999999999</v>
          </cell>
          <cell r="Y173">
            <v>10905632.66</v>
          </cell>
          <cell r="Z173">
            <v>3.249998961109668E-3</v>
          </cell>
        </row>
        <row r="174">
          <cell r="D174">
            <v>740149175</v>
          </cell>
          <cell r="E174">
            <v>0</v>
          </cell>
          <cell r="F174">
            <v>740149175</v>
          </cell>
          <cell r="G174">
            <v>1667.56</v>
          </cell>
          <cell r="H174">
            <v>12.375999999999999</v>
          </cell>
          <cell r="I174">
            <v>0</v>
          </cell>
          <cell r="J174">
            <v>4.2380000000000004</v>
          </cell>
          <cell r="K174">
            <v>0.11899999999999999</v>
          </cell>
          <cell r="L174">
            <v>8.0190000000000001</v>
          </cell>
          <cell r="M174">
            <v>0</v>
          </cell>
          <cell r="N174">
            <v>0</v>
          </cell>
          <cell r="O174">
            <v>1.2709999999999999</v>
          </cell>
          <cell r="P174">
            <v>0</v>
          </cell>
          <cell r="Q174">
            <v>13.647</v>
          </cell>
          <cell r="R174">
            <v>0.13600000000000001</v>
          </cell>
          <cell r="S174">
            <v>0</v>
          </cell>
          <cell r="T174">
            <v>0</v>
          </cell>
          <cell r="U174">
            <v>0</v>
          </cell>
          <cell r="V174">
            <v>0</v>
          </cell>
          <cell r="W174">
            <v>13.782999999999999</v>
          </cell>
          <cell r="X174">
            <v>4.1840000000000002</v>
          </cell>
          <cell r="Y174">
            <v>3137048.98</v>
          </cell>
          <cell r="Z174">
            <v>0</v>
          </cell>
        </row>
        <row r="175">
          <cell r="D175">
            <v>579156110</v>
          </cell>
          <cell r="E175">
            <v>0</v>
          </cell>
          <cell r="F175">
            <v>579156110</v>
          </cell>
          <cell r="G175">
            <v>692.66</v>
          </cell>
          <cell r="H175">
            <v>5.0679999999999996</v>
          </cell>
          <cell r="I175">
            <v>0</v>
          </cell>
          <cell r="J175">
            <v>5.0679999999999996</v>
          </cell>
          <cell r="K175">
            <v>0</v>
          </cell>
          <cell r="L175">
            <v>0</v>
          </cell>
          <cell r="M175">
            <v>0</v>
          </cell>
          <cell r="N175">
            <v>0</v>
          </cell>
          <cell r="O175">
            <v>0.129</v>
          </cell>
          <cell r="P175">
            <v>0</v>
          </cell>
          <cell r="Q175">
            <v>5.1970000000000001</v>
          </cell>
          <cell r="R175">
            <v>0.433</v>
          </cell>
          <cell r="S175">
            <v>0</v>
          </cell>
          <cell r="T175">
            <v>0</v>
          </cell>
          <cell r="U175">
            <v>0</v>
          </cell>
          <cell r="V175">
            <v>0</v>
          </cell>
          <cell r="W175">
            <v>5.63</v>
          </cell>
          <cell r="X175">
            <v>5.5129999999999999</v>
          </cell>
          <cell r="Y175">
            <v>3244742.26</v>
          </cell>
          <cell r="Z175">
            <v>240901.23451999982</v>
          </cell>
        </row>
        <row r="176">
          <cell r="D176">
            <v>579274570</v>
          </cell>
          <cell r="E176">
            <v>0</v>
          </cell>
          <cell r="F176">
            <v>579274570</v>
          </cell>
          <cell r="G176">
            <v>159.91999999999999</v>
          </cell>
          <cell r="H176">
            <v>4.2930000000000001</v>
          </cell>
          <cell r="I176">
            <v>0</v>
          </cell>
          <cell r="J176">
            <v>2.2269999999999999</v>
          </cell>
          <cell r="K176">
            <v>0.11899999999999999</v>
          </cell>
          <cell r="L176">
            <v>1.9470000000000001</v>
          </cell>
          <cell r="M176">
            <v>0</v>
          </cell>
          <cell r="N176">
            <v>0</v>
          </cell>
          <cell r="O176">
            <v>0.69899999999999995</v>
          </cell>
          <cell r="P176">
            <v>0</v>
          </cell>
          <cell r="Q176">
            <v>4.992</v>
          </cell>
          <cell r="R176">
            <v>0</v>
          </cell>
          <cell r="S176">
            <v>0</v>
          </cell>
          <cell r="T176">
            <v>0</v>
          </cell>
          <cell r="U176">
            <v>0</v>
          </cell>
          <cell r="V176">
            <v>0</v>
          </cell>
          <cell r="W176">
            <v>4.992</v>
          </cell>
          <cell r="X176">
            <v>2.153</v>
          </cell>
          <cell r="Y176">
            <v>1386846.14</v>
          </cell>
          <cell r="Z176">
            <v>2.8799997526220977E-3</v>
          </cell>
        </row>
        <row r="177">
          <cell r="D177">
            <v>164894890</v>
          </cell>
          <cell r="E177">
            <v>0</v>
          </cell>
          <cell r="F177">
            <v>164894890</v>
          </cell>
          <cell r="G177">
            <v>0</v>
          </cell>
          <cell r="H177">
            <v>27</v>
          </cell>
          <cell r="I177">
            <v>0</v>
          </cell>
          <cell r="J177">
            <v>21.344999999999999</v>
          </cell>
          <cell r="K177">
            <v>0</v>
          </cell>
          <cell r="L177">
            <v>0</v>
          </cell>
          <cell r="M177">
            <v>0</v>
          </cell>
          <cell r="N177">
            <v>0</v>
          </cell>
          <cell r="O177">
            <v>7.2409999999999997</v>
          </cell>
          <cell r="P177">
            <v>0</v>
          </cell>
          <cell r="Q177">
            <v>28.585999999999999</v>
          </cell>
          <cell r="R177">
            <v>8.4819999999999993</v>
          </cell>
          <cell r="S177">
            <v>0</v>
          </cell>
          <cell r="T177">
            <v>0</v>
          </cell>
          <cell r="U177">
            <v>0</v>
          </cell>
          <cell r="V177">
            <v>0</v>
          </cell>
          <cell r="W177">
            <v>37.067999999999998</v>
          </cell>
          <cell r="X177">
            <v>57.661000000000001</v>
          </cell>
          <cell r="Y177">
            <v>9866433.4299999997</v>
          </cell>
          <cell r="Z177">
            <v>6066396.4729499994</v>
          </cell>
        </row>
        <row r="178">
          <cell r="D178">
            <v>139736680</v>
          </cell>
          <cell r="E178">
            <v>0</v>
          </cell>
          <cell r="F178">
            <v>139736680</v>
          </cell>
          <cell r="G178">
            <v>0.06</v>
          </cell>
          <cell r="H178">
            <v>27</v>
          </cell>
          <cell r="I178">
            <v>8.968</v>
          </cell>
          <cell r="J178">
            <v>18.032</v>
          </cell>
          <cell r="K178">
            <v>0</v>
          </cell>
          <cell r="L178">
            <v>0</v>
          </cell>
          <cell r="M178">
            <v>0</v>
          </cell>
          <cell r="N178">
            <v>0</v>
          </cell>
          <cell r="O178">
            <v>11.554</v>
          </cell>
          <cell r="P178">
            <v>6.4000000000000001E-2</v>
          </cell>
          <cell r="Q178">
            <v>29.65</v>
          </cell>
          <cell r="R178">
            <v>8.11</v>
          </cell>
          <cell r="S178">
            <v>0</v>
          </cell>
          <cell r="T178">
            <v>0</v>
          </cell>
          <cell r="U178">
            <v>0</v>
          </cell>
          <cell r="V178">
            <v>0</v>
          </cell>
          <cell r="W178">
            <v>37.76</v>
          </cell>
          <cell r="X178">
            <v>54.578000000000003</v>
          </cell>
          <cell r="Y178">
            <v>8070856.5800000001</v>
          </cell>
          <cell r="Z178">
            <v>5367297.0962400008</v>
          </cell>
        </row>
        <row r="179">
          <cell r="D179">
            <v>20493755</v>
          </cell>
          <cell r="E179">
            <v>0</v>
          </cell>
          <cell r="F179">
            <v>20493755</v>
          </cell>
          <cell r="G179">
            <v>0</v>
          </cell>
          <cell r="H179">
            <v>27</v>
          </cell>
          <cell r="I179">
            <v>2.5019999999999998</v>
          </cell>
          <cell r="J179">
            <v>24.498000000000001</v>
          </cell>
          <cell r="K179">
            <v>0</v>
          </cell>
          <cell r="L179">
            <v>0</v>
          </cell>
          <cell r="M179">
            <v>0</v>
          </cell>
          <cell r="N179">
            <v>0</v>
          </cell>
          <cell r="O179">
            <v>0</v>
          </cell>
          <cell r="P179">
            <v>0</v>
          </cell>
          <cell r="Q179">
            <v>24.498000000000001</v>
          </cell>
          <cell r="R179">
            <v>13</v>
          </cell>
          <cell r="S179">
            <v>0</v>
          </cell>
          <cell r="T179">
            <v>0</v>
          </cell>
          <cell r="U179">
            <v>0</v>
          </cell>
          <cell r="V179">
            <v>0</v>
          </cell>
          <cell r="W179">
            <v>37.497999999999998</v>
          </cell>
          <cell r="X179">
            <v>149.54400000000001</v>
          </cell>
          <cell r="Y179">
            <v>3106491.25</v>
          </cell>
          <cell r="Z179">
            <v>2558784.6400099997</v>
          </cell>
        </row>
        <row r="180">
          <cell r="D180">
            <v>16572261</v>
          </cell>
          <cell r="E180">
            <v>0</v>
          </cell>
          <cell r="F180">
            <v>16572261</v>
          </cell>
          <cell r="G180">
            <v>63.49</v>
          </cell>
          <cell r="H180">
            <v>27</v>
          </cell>
          <cell r="I180">
            <v>4.3250000000000002</v>
          </cell>
          <cell r="J180">
            <v>22.675000000000001</v>
          </cell>
          <cell r="K180">
            <v>0</v>
          </cell>
          <cell r="L180">
            <v>0</v>
          </cell>
          <cell r="M180">
            <v>0</v>
          </cell>
          <cell r="N180">
            <v>0</v>
          </cell>
          <cell r="O180">
            <v>17.16</v>
          </cell>
          <cell r="P180">
            <v>4.0000000000000001E-3</v>
          </cell>
          <cell r="Q180">
            <v>39.838999999999999</v>
          </cell>
          <cell r="R180">
            <v>0</v>
          </cell>
          <cell r="S180">
            <v>0</v>
          </cell>
          <cell r="T180">
            <v>0</v>
          </cell>
          <cell r="U180">
            <v>0</v>
          </cell>
          <cell r="V180">
            <v>0</v>
          </cell>
          <cell r="W180">
            <v>39.838999999999999</v>
          </cell>
          <cell r="X180">
            <v>80.775000000000006</v>
          </cell>
          <cell r="Y180">
            <v>1324030.82</v>
          </cell>
          <cell r="Z180">
            <v>911392.60182500002</v>
          </cell>
        </row>
      </sheetData>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ourier"/>
        <a:ea typeface="Courier"/>
        <a:cs typeface="Courier"/>
      </a:majorFont>
      <a:minorFont>
        <a:latin typeface="Courier"/>
        <a:ea typeface="Courier"/>
        <a:cs typeface="Courier"/>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dx.cde.state.co.us/equal/secure/MillLevyCe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2ED46-6127-43E4-BF4C-FC1C1C1040CA}">
  <sheetPr>
    <pageSetUpPr fitToPage="1"/>
  </sheetPr>
  <dimension ref="A2:U86"/>
  <sheetViews>
    <sheetView tabSelected="1" zoomScale="92" zoomScaleNormal="85" workbookViewId="0">
      <selection activeCell="E24" sqref="E24"/>
    </sheetView>
  </sheetViews>
  <sheetFormatPr defaultColWidth="8.58203125" defaultRowHeight="15.5" outlineLevelRow="1" x14ac:dyDescent="0.35"/>
  <cols>
    <col min="1" max="1" width="35" style="3" customWidth="1"/>
    <col min="2" max="2" width="35.5" style="3" customWidth="1"/>
    <col min="3" max="3" width="26.08203125" style="1" customWidth="1"/>
    <col min="4" max="4" width="22.9140625" style="1" customWidth="1"/>
    <col min="5" max="5" width="29.83203125" style="1" customWidth="1"/>
    <col min="6" max="6" width="30.83203125" style="3" customWidth="1"/>
    <col min="7" max="7" width="97.08203125" style="301" customWidth="1"/>
    <col min="8" max="8" width="20.08203125" style="207" customWidth="1"/>
    <col min="9" max="9" width="18.08203125" style="207" customWidth="1"/>
    <col min="10" max="10" width="16.5" style="207" customWidth="1"/>
    <col min="11" max="11" width="18.75" style="207" customWidth="1"/>
    <col min="12" max="12" width="14.75" style="207" customWidth="1"/>
    <col min="13" max="16384" width="8.58203125" style="2"/>
  </cols>
  <sheetData>
    <row r="2" spans="1:21" ht="94.15" customHeight="1" x14ac:dyDescent="0.3">
      <c r="B2" s="329" t="s">
        <v>0</v>
      </c>
      <c r="C2" s="329"/>
      <c r="D2" s="329"/>
      <c r="E2" s="329"/>
      <c r="F2" s="329"/>
      <c r="G2" s="145"/>
      <c r="H2" s="206"/>
      <c r="I2" s="206"/>
      <c r="J2" s="206"/>
      <c r="K2" s="206"/>
      <c r="L2" s="206"/>
      <c r="M2" s="145"/>
      <c r="N2" s="145"/>
      <c r="O2" s="145"/>
      <c r="P2" s="145"/>
      <c r="Q2" s="145"/>
      <c r="R2" s="145"/>
      <c r="S2" s="145"/>
      <c r="T2" s="145"/>
      <c r="U2" s="145"/>
    </row>
    <row r="3" spans="1:21" ht="51" customHeight="1" x14ac:dyDescent="0.5">
      <c r="B3" s="331" t="s">
        <v>626</v>
      </c>
      <c r="C3" s="331"/>
      <c r="D3" s="331"/>
      <c r="E3" s="331"/>
      <c r="F3" s="331"/>
      <c r="G3" s="299"/>
      <c r="H3" s="206"/>
      <c r="I3" s="206"/>
      <c r="J3" s="206"/>
      <c r="K3" s="206"/>
      <c r="L3" s="206"/>
      <c r="M3" s="145"/>
      <c r="N3" s="145"/>
      <c r="O3" s="145"/>
      <c r="P3" s="145"/>
      <c r="Q3" s="145"/>
      <c r="R3" s="145"/>
      <c r="S3" s="145"/>
      <c r="T3" s="145"/>
      <c r="U3" s="145"/>
    </row>
    <row r="4" spans="1:21" ht="46.9" customHeight="1" x14ac:dyDescent="0.5">
      <c r="B4" s="330" t="s">
        <v>815</v>
      </c>
      <c r="C4" s="330"/>
      <c r="D4" s="330"/>
      <c r="E4" s="330"/>
      <c r="F4" s="330"/>
      <c r="G4" s="300"/>
      <c r="H4" s="206"/>
      <c r="I4" s="206"/>
      <c r="J4" s="206"/>
      <c r="K4" s="206"/>
      <c r="L4" s="206"/>
      <c r="M4" s="145"/>
      <c r="N4" s="145"/>
      <c r="O4" s="145"/>
      <c r="P4" s="145"/>
      <c r="Q4" s="145"/>
      <c r="R4" s="145"/>
      <c r="S4" s="145"/>
      <c r="T4" s="145"/>
      <c r="U4" s="145"/>
    </row>
    <row r="5" spans="1:21" ht="46.9" customHeight="1" x14ac:dyDescent="0.5">
      <c r="B5" s="330" t="s">
        <v>617</v>
      </c>
      <c r="C5" s="330"/>
      <c r="D5" s="330"/>
      <c r="E5" s="330"/>
      <c r="F5" s="330"/>
      <c r="G5" s="300"/>
      <c r="H5" s="206"/>
      <c r="I5" s="206"/>
      <c r="J5" s="206"/>
      <c r="K5" s="206"/>
      <c r="L5" s="206"/>
      <c r="M5" s="145"/>
      <c r="N5" s="145"/>
      <c r="O5" s="145"/>
      <c r="P5" s="145"/>
      <c r="Q5" s="145"/>
      <c r="R5" s="145"/>
      <c r="S5" s="145"/>
      <c r="T5" s="145"/>
      <c r="U5" s="145"/>
    </row>
    <row r="6" spans="1:21" ht="46.9" customHeight="1" thickBot="1" x14ac:dyDescent="0.55000000000000004">
      <c r="B6" s="330" t="s">
        <v>620</v>
      </c>
      <c r="C6" s="330"/>
      <c r="D6" s="330"/>
      <c r="E6" s="330"/>
      <c r="F6" s="330"/>
      <c r="G6" s="300"/>
      <c r="H6" s="206"/>
      <c r="I6" s="206"/>
      <c r="J6" s="206"/>
      <c r="K6" s="206"/>
      <c r="L6" s="206"/>
      <c r="M6" s="145"/>
      <c r="N6" s="145"/>
      <c r="O6" s="145"/>
      <c r="P6" s="145"/>
      <c r="Q6" s="145"/>
      <c r="R6" s="145"/>
      <c r="S6" s="145"/>
      <c r="T6" s="145"/>
      <c r="U6" s="145"/>
    </row>
    <row r="7" spans="1:21" ht="18" x14ac:dyDescent="0.4">
      <c r="A7" s="2"/>
      <c r="B7" s="142" t="s">
        <v>627</v>
      </c>
      <c r="C7" s="126" t="s">
        <v>1</v>
      </c>
      <c r="D7" s="296"/>
      <c r="E7" s="284" t="s">
        <v>618</v>
      </c>
      <c r="F7" s="297"/>
    </row>
    <row r="8" spans="1:21" ht="18.5" thickBot="1" x14ac:dyDescent="0.45">
      <c r="A8" s="2"/>
      <c r="C8" s="229" t="s">
        <v>816</v>
      </c>
      <c r="E8" s="284" t="s">
        <v>628</v>
      </c>
      <c r="F8" s="298"/>
    </row>
    <row r="9" spans="1:21" x14ac:dyDescent="0.35">
      <c r="C9" s="146"/>
    </row>
    <row r="10" spans="1:21" ht="22.9" customHeight="1" x14ac:dyDescent="0.3">
      <c r="B10" s="293"/>
      <c r="C10" s="294" t="s">
        <v>2</v>
      </c>
      <c r="D10" s="293"/>
      <c r="E10" s="293"/>
      <c r="F10" s="293"/>
      <c r="G10" s="293" t="s">
        <v>3</v>
      </c>
      <c r="O10" s="125"/>
      <c r="P10" s="125"/>
      <c r="Q10" s="125"/>
      <c r="R10" s="125"/>
      <c r="S10" s="125"/>
      <c r="T10" s="125"/>
      <c r="U10" s="125"/>
    </row>
    <row r="11" spans="1:21" ht="27.5" x14ac:dyDescent="0.55000000000000004">
      <c r="B11" s="124"/>
      <c r="C11" s="295" t="s">
        <v>4</v>
      </c>
      <c r="D11" s="124"/>
      <c r="E11" s="124"/>
      <c r="F11" s="124"/>
      <c r="G11" s="302"/>
    </row>
    <row r="13" spans="1:21" ht="17" x14ac:dyDescent="0.5">
      <c r="A13" s="2"/>
      <c r="E13" s="142" t="s">
        <v>619</v>
      </c>
      <c r="F13" s="209"/>
      <c r="G13" s="303"/>
    </row>
    <row r="14" spans="1:21" x14ac:dyDescent="0.35">
      <c r="A14" s="3" t="s">
        <v>5</v>
      </c>
      <c r="B14" s="6"/>
      <c r="C14" s="6" t="s">
        <v>6</v>
      </c>
      <c r="D14" s="6"/>
      <c r="E14" s="6"/>
      <c r="F14" s="6"/>
    </row>
    <row r="15" spans="1:21" ht="14" x14ac:dyDescent="0.3">
      <c r="A15" s="231" t="e">
        <f>VLOOKUP($F$13,'Data FY23 Final'!$A$2:$Z$180,2,FALSE)</f>
        <v>#N/A</v>
      </c>
      <c r="C15" s="5" t="s">
        <v>624</v>
      </c>
      <c r="D15" s="3"/>
      <c r="E15" s="3"/>
      <c r="G15" s="2"/>
    </row>
    <row r="16" spans="1:21" ht="21.65" customHeight="1" x14ac:dyDescent="0.35">
      <c r="A16" s="3" t="s">
        <v>7</v>
      </c>
      <c r="C16" s="292"/>
      <c r="D16" s="292" t="s">
        <v>625</v>
      </c>
      <c r="E16" s="292"/>
      <c r="F16" s="292"/>
      <c r="G16" s="2"/>
      <c r="H16" s="325" t="s">
        <v>8</v>
      </c>
      <c r="I16" s="325"/>
      <c r="J16" s="325"/>
      <c r="K16" s="325"/>
      <c r="L16" s="325"/>
    </row>
    <row r="17" spans="1:12" x14ac:dyDescent="0.35">
      <c r="A17" s="231" t="e">
        <f>VLOOKUP($F$13,'Data FY23 Final'!$A$2:$Z$180,3,FALSE)</f>
        <v>#N/A</v>
      </c>
      <c r="C17" s="3"/>
      <c r="E17" s="144"/>
    </row>
    <row r="18" spans="1:12" s="4" customFormat="1" ht="35" x14ac:dyDescent="0.3">
      <c r="C18" s="234" t="s">
        <v>9</v>
      </c>
      <c r="D18" s="234" t="s">
        <v>10</v>
      </c>
      <c r="E18" s="235" t="s">
        <v>11</v>
      </c>
      <c r="F18" s="235" t="s">
        <v>12</v>
      </c>
      <c r="G18" s="304"/>
      <c r="H18" s="208"/>
      <c r="I18" s="208"/>
      <c r="J18" s="208"/>
      <c r="K18" s="208"/>
      <c r="L18" s="208"/>
    </row>
    <row r="19" spans="1:12" s="4" customFormat="1" x14ac:dyDescent="0.3">
      <c r="A19" s="1" t="s">
        <v>13</v>
      </c>
      <c r="B19" s="1"/>
      <c r="C19" s="236">
        <v>45275</v>
      </c>
      <c r="D19" s="236">
        <v>45529</v>
      </c>
      <c r="E19" s="237" t="s">
        <v>629</v>
      </c>
      <c r="F19" s="238" t="str">
        <f>E19</f>
        <v>December 16, 2024</v>
      </c>
      <c r="G19" s="305"/>
      <c r="H19" s="208"/>
      <c r="I19" s="208"/>
      <c r="J19" s="208"/>
      <c r="K19" s="208"/>
      <c r="L19" s="208"/>
    </row>
    <row r="20" spans="1:12" s="4" customFormat="1" ht="15" x14ac:dyDescent="0.3">
      <c r="A20" s="1"/>
      <c r="B20" s="1"/>
      <c r="C20" s="239"/>
      <c r="D20" s="239"/>
      <c r="E20" s="240"/>
      <c r="F20" s="241"/>
      <c r="G20" s="306"/>
      <c r="H20" s="208"/>
      <c r="I20" s="208"/>
      <c r="J20" s="208"/>
      <c r="K20" s="208"/>
      <c r="L20" s="208"/>
    </row>
    <row r="21" spans="1:12" x14ac:dyDescent="0.35">
      <c r="A21" s="5" t="s">
        <v>14</v>
      </c>
      <c r="B21" s="144" t="s">
        <v>15</v>
      </c>
      <c r="C21" s="242"/>
      <c r="D21" s="242"/>
      <c r="E21" s="230"/>
      <c r="F21" s="243"/>
    </row>
    <row r="22" spans="1:12" outlineLevel="1" x14ac:dyDescent="0.35">
      <c r="A22" s="3" t="s">
        <v>16</v>
      </c>
      <c r="B22" s="160" t="s">
        <v>17</v>
      </c>
      <c r="C22" s="274" t="e">
        <f>VLOOKUP($F$13,'Data FY24 Final'!$A$2:$Z$180,4,FALSE)</f>
        <v>#N/A</v>
      </c>
      <c r="D22" s="274" t="e">
        <f>VLOOKUP($F$13,'Data Aug 25 AV'!$A$3:$Z$180,4,FALSE)</f>
        <v>#N/A</v>
      </c>
      <c r="E22" s="281"/>
      <c r="F22" s="243"/>
      <c r="G22" s="301" t="s">
        <v>18</v>
      </c>
    </row>
    <row r="23" spans="1:12" outlineLevel="1" x14ac:dyDescent="0.35">
      <c r="B23" s="160"/>
      <c r="C23" s="231"/>
      <c r="D23" s="244"/>
      <c r="E23" s="271"/>
      <c r="F23" s="243"/>
      <c r="G23" s="301" t="s">
        <v>19</v>
      </c>
    </row>
    <row r="24" spans="1:12" ht="28.5" outlineLevel="1" x14ac:dyDescent="0.35">
      <c r="A24" s="3" t="s">
        <v>20</v>
      </c>
      <c r="B24" s="205" t="s">
        <v>21</v>
      </c>
      <c r="C24" s="274" t="e">
        <f>VLOOKUP($F$13,'Data FY24 Final'!$A$2:$Z$180,5,FALSE)</f>
        <v>#N/A</v>
      </c>
      <c r="D24" s="274" t="e">
        <f>VLOOKUP($F$13,'Data Aug 25 AV'!$A$3:$Z$180,5,FALSE)</f>
        <v>#N/A</v>
      </c>
      <c r="E24" s="281"/>
      <c r="F24" s="243"/>
      <c r="G24" s="301" t="s">
        <v>22</v>
      </c>
    </row>
    <row r="25" spans="1:12" x14ac:dyDescent="0.35">
      <c r="B25" s="160"/>
      <c r="C25" s="231"/>
      <c r="D25" s="244"/>
      <c r="E25" s="271"/>
      <c r="F25" s="243"/>
    </row>
    <row r="26" spans="1:12" x14ac:dyDescent="0.35">
      <c r="A26" s="3" t="s">
        <v>23</v>
      </c>
      <c r="B26" s="160" t="s">
        <v>17</v>
      </c>
      <c r="C26" s="274" t="e">
        <f>VLOOKUP($F$13,'Data FY24 Final'!$A$2:$Z$180,6,FALSE)</f>
        <v>#N/A</v>
      </c>
      <c r="D26" s="274" t="e">
        <f>VLOOKUP($F$13,'Data Aug 25 AV'!$A$3:$Z$180,6,FALSE)</f>
        <v>#N/A</v>
      </c>
      <c r="E26" s="281"/>
      <c r="F26" s="243"/>
      <c r="G26" s="301" t="s">
        <v>24</v>
      </c>
    </row>
    <row r="27" spans="1:12" x14ac:dyDescent="0.35">
      <c r="C27" s="245"/>
      <c r="D27" s="246"/>
      <c r="E27" s="272"/>
      <c r="F27" s="243"/>
    </row>
    <row r="28" spans="1:12" x14ac:dyDescent="0.35">
      <c r="A28" s="3" t="s">
        <v>25</v>
      </c>
      <c r="B28" s="160" t="s">
        <v>17</v>
      </c>
      <c r="C28" s="274" t="e">
        <f>VLOOKUP($F$13,'Data FY24 Final'!$A$2:$Z$180,7,FALSE)</f>
        <v>#N/A</v>
      </c>
      <c r="D28" s="274" t="e">
        <f>VLOOKUP($F$13,'Data Aug 25 AV'!$A$3:$Z$180,7,FALSE)</f>
        <v>#N/A</v>
      </c>
      <c r="E28" s="281"/>
      <c r="F28" s="243"/>
      <c r="G28" s="301" t="s">
        <v>26</v>
      </c>
    </row>
    <row r="29" spans="1:12" x14ac:dyDescent="0.35">
      <c r="A29" s="3" t="s">
        <v>27</v>
      </c>
      <c r="C29" s="247"/>
      <c r="D29" s="242"/>
      <c r="E29" s="230"/>
      <c r="F29" s="243"/>
      <c r="G29" s="301" t="s">
        <v>28</v>
      </c>
    </row>
    <row r="30" spans="1:12" x14ac:dyDescent="0.35">
      <c r="C30" s="247"/>
      <c r="D30" s="248"/>
      <c r="E30" s="230"/>
      <c r="F30" s="243"/>
    </row>
    <row r="31" spans="1:12" x14ac:dyDescent="0.35">
      <c r="A31" s="3" t="s">
        <v>29</v>
      </c>
      <c r="B31" s="162" t="s">
        <v>630</v>
      </c>
      <c r="C31" s="275" t="e">
        <f>VLOOKUP($F$13,'Data FY24 Final'!$A$2:$Z$180,8,FALSE)</f>
        <v>#N/A</v>
      </c>
      <c r="D31" s="275" t="e">
        <f>VLOOKUP($F$13,'Data Aug 25 AV'!$A$3:$Z$180,8,FALSE)</f>
        <v>#N/A</v>
      </c>
      <c r="E31" s="248" t="e">
        <f>VLOOKUP($F$13,'Data Aug 25 AV'!$A$3:$Z$180,8,FALSE)</f>
        <v>#N/A</v>
      </c>
      <c r="F31" s="243"/>
      <c r="G31" s="301" t="s">
        <v>30</v>
      </c>
    </row>
    <row r="32" spans="1:12" x14ac:dyDescent="0.35">
      <c r="B32" s="163"/>
      <c r="C32" s="231"/>
      <c r="D32" s="249"/>
      <c r="E32" s="249"/>
      <c r="F32" s="243"/>
    </row>
    <row r="33" spans="1:7" x14ac:dyDescent="0.35">
      <c r="A33" s="3" t="s">
        <v>31</v>
      </c>
      <c r="B33" s="162" t="s">
        <v>630</v>
      </c>
      <c r="C33" s="275" t="e">
        <f>VLOOKUP($F$13,'Data FY24 Final'!$A$2:$Z$180,9,FALSE)</f>
        <v>#N/A</v>
      </c>
      <c r="D33" s="275" t="e">
        <f>VLOOKUP($F$13,'Data Aug 25 AV'!$A$3:$Z$180,9,FALSE)</f>
        <v>#N/A</v>
      </c>
      <c r="E33" s="248" t="e">
        <f>VLOOKUP($F$13,'Data Aug 25 AV'!$A$3:$Z$180,9,FALSE)</f>
        <v>#N/A</v>
      </c>
      <c r="F33" s="243"/>
      <c r="G33" s="301" t="s">
        <v>32</v>
      </c>
    </row>
    <row r="34" spans="1:7" x14ac:dyDescent="0.35">
      <c r="B34" s="163"/>
      <c r="C34" s="231"/>
      <c r="D34" s="249"/>
      <c r="E34" s="249"/>
      <c r="F34" s="243"/>
      <c r="G34" s="301" t="s">
        <v>33</v>
      </c>
    </row>
    <row r="35" spans="1:7" ht="14.5" customHeight="1" x14ac:dyDescent="0.3">
      <c r="A35" s="3" t="s">
        <v>34</v>
      </c>
      <c r="B35" s="162" t="s">
        <v>630</v>
      </c>
      <c r="C35" s="275" t="e">
        <f>VLOOKUP($F$13,'Data FY24 Final'!$A$2:$Z$180,10,FALSE)</f>
        <v>#N/A</v>
      </c>
      <c r="D35" s="275" t="e">
        <f>VLOOKUP($F$13,'Data Aug 25 AV'!$A$3:$Z$180,10,FALSE)</f>
        <v>#N/A</v>
      </c>
      <c r="E35" s="248" t="e">
        <f>VLOOKUP($F$13,'Data Aug 25 AV'!$A$3:$Z$180,10,FALSE)</f>
        <v>#N/A</v>
      </c>
      <c r="F35" s="254" t="e">
        <f>+E35*$E$26/1000</f>
        <v>#N/A</v>
      </c>
      <c r="G35" s="305" t="s">
        <v>35</v>
      </c>
    </row>
    <row r="36" spans="1:7" ht="14" customHeight="1" x14ac:dyDescent="0.3">
      <c r="A36" s="1" t="s">
        <v>36</v>
      </c>
      <c r="C36" s="249"/>
      <c r="D36" s="249"/>
      <c r="E36" s="249"/>
      <c r="F36" s="243"/>
      <c r="G36" s="305"/>
    </row>
    <row r="37" spans="1:7" x14ac:dyDescent="0.35">
      <c r="A37" s="1"/>
      <c r="C37" s="249"/>
      <c r="D37" s="249"/>
      <c r="E37" s="249"/>
      <c r="F37" s="243"/>
      <c r="G37" s="307"/>
    </row>
    <row r="38" spans="1:7" ht="28.5" x14ac:dyDescent="0.35">
      <c r="A38" s="3" t="s">
        <v>37</v>
      </c>
      <c r="B38" s="204" t="s">
        <v>38</v>
      </c>
      <c r="C38" s="277" t="e">
        <f>VLOOKUP($F$13,'Data FY24 Final'!$A$2:$Z$180,11,FALSE)</f>
        <v>#N/A</v>
      </c>
      <c r="D38" s="277" t="e">
        <f>VLOOKUP($F$13,'Data Aug 25 AV'!$A$3:$Z$180,11,FALSE)</f>
        <v>#N/A</v>
      </c>
      <c r="E38" s="282"/>
      <c r="F38" s="279">
        <f>($E$26*E38)/1000</f>
        <v>0</v>
      </c>
      <c r="G38" s="307" t="s">
        <v>39</v>
      </c>
    </row>
    <row r="39" spans="1:7" x14ac:dyDescent="0.35">
      <c r="B39" s="198"/>
      <c r="C39" s="278"/>
      <c r="D39" s="278"/>
      <c r="E39" s="278"/>
      <c r="F39" s="280"/>
    </row>
    <row r="40" spans="1:7" ht="30" customHeight="1" x14ac:dyDescent="0.3">
      <c r="A40" s="3" t="s">
        <v>40</v>
      </c>
      <c r="B40" s="204" t="s">
        <v>38</v>
      </c>
      <c r="C40" s="277" t="e">
        <f>VLOOKUP($F$13,'Data FY24 Final'!$A$2:$Z$180,12,FALSE)</f>
        <v>#N/A</v>
      </c>
      <c r="D40" s="277" t="e">
        <f>VLOOKUP($F$13,'Data Aug 25 AV'!$A$3:$Z$180,12,FALSE)</f>
        <v>#N/A</v>
      </c>
      <c r="E40" s="282"/>
      <c r="F40" s="279">
        <f>($E$26*E40)/1000</f>
        <v>0</v>
      </c>
      <c r="G40" s="305" t="s">
        <v>39</v>
      </c>
    </row>
    <row r="41" spans="1:7" x14ac:dyDescent="0.3">
      <c r="C41" s="278"/>
      <c r="D41" s="278"/>
      <c r="E41" s="278"/>
      <c r="F41" s="280"/>
      <c r="G41" s="305"/>
    </row>
    <row r="42" spans="1:7" ht="16.899999999999999" customHeight="1" x14ac:dyDescent="0.35">
      <c r="A42" s="5" t="s">
        <v>41</v>
      </c>
      <c r="B42" s="5"/>
      <c r="C42" s="250" t="e">
        <f>+C40+C38+C35</f>
        <v>#N/A</v>
      </c>
      <c r="D42" s="250" t="e">
        <f>+D40+D38+D35</f>
        <v>#N/A</v>
      </c>
      <c r="E42" s="250" t="e">
        <f>E35+E38+E40</f>
        <v>#N/A</v>
      </c>
      <c r="F42" s="257" t="e">
        <f>F35+F38+F40</f>
        <v>#N/A</v>
      </c>
      <c r="G42" s="308"/>
    </row>
    <row r="43" spans="1:7" ht="13.9" customHeight="1" thickBot="1" x14ac:dyDescent="0.4">
      <c r="C43" s="249"/>
      <c r="D43" s="249"/>
      <c r="E43" s="249"/>
      <c r="F43" s="253"/>
      <c r="G43" s="308"/>
    </row>
    <row r="44" spans="1:7" ht="35.5" customHeight="1" x14ac:dyDescent="0.35">
      <c r="A44" s="3" t="s">
        <v>42</v>
      </c>
      <c r="C44" s="249"/>
      <c r="D44" s="249"/>
      <c r="E44" s="249"/>
      <c r="F44" s="253"/>
      <c r="G44" s="309" t="s">
        <v>43</v>
      </c>
    </row>
    <row r="45" spans="1:7" ht="7.5" customHeight="1" x14ac:dyDescent="0.35">
      <c r="C45" s="249"/>
      <c r="D45" s="249"/>
      <c r="E45" s="249"/>
      <c r="F45" s="253"/>
      <c r="G45" s="310"/>
    </row>
    <row r="46" spans="1:7" ht="33" customHeight="1" x14ac:dyDescent="0.35">
      <c r="A46" s="3" t="s">
        <v>44</v>
      </c>
      <c r="B46" s="199"/>
      <c r="C46" s="275" t="e">
        <f>VLOOKUP($F$13,'Data FY24 Final'!$A$2:$Z$180,13,FALSE)</f>
        <v>#N/A</v>
      </c>
      <c r="D46" s="275" t="e">
        <f>VLOOKUP($F$13,'Data Aug 25 AV'!$A$3:$Z$180,13,FALSE)</f>
        <v>#N/A</v>
      </c>
      <c r="E46" s="282"/>
      <c r="F46" s="254">
        <f>($E$26*E46)/1000</f>
        <v>0</v>
      </c>
      <c r="G46" s="310" t="s">
        <v>45</v>
      </c>
    </row>
    <row r="47" spans="1:7" ht="13.9" customHeight="1" x14ac:dyDescent="0.35">
      <c r="B47" s="199"/>
      <c r="C47" s="249"/>
      <c r="D47" s="249"/>
      <c r="E47" s="249"/>
      <c r="F47" s="255"/>
      <c r="G47" s="310"/>
    </row>
    <row r="48" spans="1:7" ht="13.9" customHeight="1" x14ac:dyDescent="0.35">
      <c r="A48" s="3" t="s">
        <v>46</v>
      </c>
      <c r="B48" s="199"/>
      <c r="C48" s="275" t="e">
        <f>VLOOKUP($F$13,'Data FY24 Final'!$A$2:$Z$180,14,FALSE)</f>
        <v>#N/A</v>
      </c>
      <c r="D48" s="275" t="e">
        <f>VLOOKUP($F$13,'Data Aug 25 AV'!$A$3:$Z$180,14,FALSE)</f>
        <v>#N/A</v>
      </c>
      <c r="E48" s="282"/>
      <c r="F48" s="254">
        <f>($E$26*E48)/1000</f>
        <v>0</v>
      </c>
      <c r="G48" s="310"/>
    </row>
    <row r="49" spans="1:7" ht="13.9" customHeight="1" x14ac:dyDescent="0.35">
      <c r="C49" s="249"/>
      <c r="D49" s="249"/>
      <c r="E49" s="249"/>
      <c r="F49" s="254"/>
      <c r="G49" s="310"/>
    </row>
    <row r="50" spans="1:7" ht="13.9" customHeight="1" x14ac:dyDescent="0.35">
      <c r="A50" s="3" t="s">
        <v>47</v>
      </c>
      <c r="C50" s="249"/>
      <c r="D50" s="249"/>
      <c r="E50" s="249"/>
      <c r="F50" s="254"/>
      <c r="G50" s="310"/>
    </row>
    <row r="51" spans="1:7" ht="13.9" customHeight="1" x14ac:dyDescent="0.35">
      <c r="A51" s="142" t="s">
        <v>48</v>
      </c>
      <c r="B51" s="160"/>
      <c r="C51" s="275" t="e">
        <f>VLOOKUP($F$13,'Data FY24 Final'!$A$2:$Z$180,15,FALSE)</f>
        <v>#N/A</v>
      </c>
      <c r="D51" s="275" t="e">
        <f>VLOOKUP($F$13,'Data Aug 25 AV'!$A$3:$Z$180,15,FALSE)</f>
        <v>#N/A</v>
      </c>
      <c r="E51" s="282"/>
      <c r="F51" s="256">
        <f>($E$26*E51)/1000</f>
        <v>0</v>
      </c>
      <c r="G51" s="310"/>
    </row>
    <row r="52" spans="1:7" ht="13.9" customHeight="1" x14ac:dyDescent="0.35">
      <c r="A52" s="159"/>
      <c r="C52" s="249"/>
      <c r="D52" s="249"/>
      <c r="E52" s="249"/>
      <c r="F52" s="254"/>
      <c r="G52" s="310"/>
    </row>
    <row r="53" spans="1:7" ht="14.5" customHeight="1" thickBot="1" x14ac:dyDescent="0.4">
      <c r="A53" s="3" t="s">
        <v>49</v>
      </c>
      <c r="B53" s="199"/>
      <c r="C53" s="275" t="e">
        <f>VLOOKUP($F$13,'Data FY24 Final'!$A$2:$Z$180,16,FALSE)</f>
        <v>#N/A</v>
      </c>
      <c r="D53" s="275" t="e">
        <f>VLOOKUP($F$13,'Data Aug 25 AV'!$A$3:$Z$180,16,FALSE)</f>
        <v>#N/A</v>
      </c>
      <c r="E53" s="282"/>
      <c r="F53" s="254">
        <f>($E$26*E53)/1000</f>
        <v>0</v>
      </c>
      <c r="G53" s="311"/>
    </row>
    <row r="54" spans="1:7" x14ac:dyDescent="0.35">
      <c r="C54" s="249"/>
      <c r="D54" s="249"/>
      <c r="E54" s="249"/>
      <c r="F54" s="254"/>
    </row>
    <row r="55" spans="1:7" x14ac:dyDescent="0.35">
      <c r="A55" s="5" t="s">
        <v>50</v>
      </c>
      <c r="B55" s="5"/>
      <c r="C55" s="250" t="e">
        <f>+C42+C51+C46+C48+C53</f>
        <v>#N/A</v>
      </c>
      <c r="D55" s="250" t="e">
        <f>+D42+D51+D46+D48+D53</f>
        <v>#N/A</v>
      </c>
      <c r="E55" s="250" t="e">
        <f>+E42+E51+E46+E48+E53</f>
        <v>#N/A</v>
      </c>
      <c r="F55" s="257" t="e">
        <f>SUM(F38:F53)</f>
        <v>#N/A</v>
      </c>
      <c r="G55" s="301" t="s">
        <v>51</v>
      </c>
    </row>
    <row r="56" spans="1:7" x14ac:dyDescent="0.35">
      <c r="B56" s="143"/>
      <c r="C56" s="251"/>
      <c r="D56" s="252"/>
      <c r="E56" s="252"/>
      <c r="F56" s="258"/>
    </row>
    <row r="57" spans="1:7" ht="16" thickBot="1" x14ac:dyDescent="0.4">
      <c r="C57" s="249"/>
      <c r="D57" s="252"/>
      <c r="E57" s="260"/>
      <c r="F57" s="254"/>
    </row>
    <row r="58" spans="1:7" ht="47" thickBot="1" x14ac:dyDescent="0.4">
      <c r="A58" s="3" t="s">
        <v>52</v>
      </c>
      <c r="B58" s="160"/>
      <c r="C58" s="275" t="e">
        <f>VLOOKUP($F$13,'Data FY24 Final'!$A$2:$Z$180,18,FALSE)</f>
        <v>#N/A</v>
      </c>
      <c r="D58" s="273" t="s">
        <v>53</v>
      </c>
      <c r="E58" s="283">
        <v>0</v>
      </c>
      <c r="F58" s="254">
        <f>($E$26*E58)/1000</f>
        <v>0</v>
      </c>
      <c r="G58" s="312" t="s">
        <v>54</v>
      </c>
    </row>
    <row r="59" spans="1:7" ht="16" thickBot="1" x14ac:dyDescent="0.4">
      <c r="C59" s="249"/>
      <c r="D59" s="252"/>
      <c r="E59" s="260"/>
      <c r="F59" s="254"/>
    </row>
    <row r="60" spans="1:7" ht="31.5" thickBot="1" x14ac:dyDescent="0.4">
      <c r="A60" s="3" t="s">
        <v>55</v>
      </c>
      <c r="B60" s="160"/>
      <c r="C60" s="275" t="e">
        <f>VLOOKUP($F$13,'Data FY24 Final'!$A$2:$Z$180,19,FALSE)</f>
        <v>#N/A</v>
      </c>
      <c r="D60" s="273" t="s">
        <v>53</v>
      </c>
      <c r="E60" s="283">
        <v>0</v>
      </c>
      <c r="F60" s="254">
        <f>($E$26*E60)/1000</f>
        <v>0</v>
      </c>
      <c r="G60" s="312" t="s">
        <v>43</v>
      </c>
    </row>
    <row r="61" spans="1:7" ht="16" thickBot="1" x14ac:dyDescent="0.4">
      <c r="C61" s="249"/>
      <c r="D61" s="252"/>
      <c r="E61" s="260"/>
      <c r="F61" s="254"/>
    </row>
    <row r="62" spans="1:7" ht="31.5" thickBot="1" x14ac:dyDescent="0.4">
      <c r="A62" s="148" t="s">
        <v>56</v>
      </c>
      <c r="B62" s="160"/>
      <c r="C62" s="275" t="e">
        <f>VLOOKUP($F$13,'Data FY24 Final'!$A$2:$Z$180,20,FALSE)</f>
        <v>#N/A</v>
      </c>
      <c r="D62" s="273" t="s">
        <v>53</v>
      </c>
      <c r="E62" s="283">
        <v>0</v>
      </c>
      <c r="F62" s="254">
        <f>($E$26*E62)/1000</f>
        <v>0</v>
      </c>
      <c r="G62" s="312" t="s">
        <v>43</v>
      </c>
    </row>
    <row r="63" spans="1:7" ht="16" thickBot="1" x14ac:dyDescent="0.4">
      <c r="C63" s="249"/>
      <c r="D63" s="252"/>
      <c r="E63" s="260"/>
      <c r="F63" s="254"/>
    </row>
    <row r="64" spans="1:7" ht="31.5" thickBot="1" x14ac:dyDescent="0.4">
      <c r="A64" s="148" t="s">
        <v>57</v>
      </c>
      <c r="B64" s="160"/>
      <c r="C64" s="275" t="e">
        <f>VLOOKUP($F$13,'Data FY24 Final'!$A$2:$Z$180,21,FALSE)</f>
        <v>#N/A</v>
      </c>
      <c r="D64" s="273" t="s">
        <v>53</v>
      </c>
      <c r="E64" s="283">
        <v>0</v>
      </c>
      <c r="F64" s="254">
        <f>($E$26*E64)/1000</f>
        <v>0</v>
      </c>
      <c r="G64" s="312" t="s">
        <v>43</v>
      </c>
    </row>
    <row r="65" spans="1:7" ht="16" thickBot="1" x14ac:dyDescent="0.4">
      <c r="C65" s="249"/>
      <c r="D65" s="252"/>
      <c r="E65" s="260"/>
      <c r="F65" s="254"/>
    </row>
    <row r="66" spans="1:7" ht="31.5" thickBot="1" x14ac:dyDescent="0.4">
      <c r="A66" s="3" t="s">
        <v>58</v>
      </c>
      <c r="B66" s="160"/>
      <c r="C66" s="275" t="e">
        <f>VLOOKUP($F$13,'Data FY24 Final'!$A$2:$Z$180,22,FALSE)</f>
        <v>#N/A</v>
      </c>
      <c r="D66" s="273" t="s">
        <v>53</v>
      </c>
      <c r="E66" s="283">
        <v>0</v>
      </c>
      <c r="F66" s="254">
        <f>($E$26*E66)/1000</f>
        <v>0</v>
      </c>
      <c r="G66" s="312" t="s">
        <v>43</v>
      </c>
    </row>
    <row r="67" spans="1:7" ht="16" thickBot="1" x14ac:dyDescent="0.4">
      <c r="A67" s="200" t="s">
        <v>59</v>
      </c>
      <c r="B67" s="201"/>
      <c r="C67" s="249"/>
      <c r="D67" s="252"/>
      <c r="E67" s="260"/>
      <c r="F67" s="254"/>
    </row>
    <row r="68" spans="1:7" x14ac:dyDescent="0.35">
      <c r="A68" s="3" t="s">
        <v>60</v>
      </c>
      <c r="C68" s="250" t="e">
        <f>SUM(C55:C66)</f>
        <v>#N/A</v>
      </c>
      <c r="D68" s="250" t="e">
        <f>SUM(D55:D66)</f>
        <v>#N/A</v>
      </c>
      <c r="E68" s="269" t="e">
        <f>SUM(E55:E66)</f>
        <v>#N/A</v>
      </c>
      <c r="F68" s="257" t="e">
        <f>SUM(F55:F67)</f>
        <v>#N/A</v>
      </c>
      <c r="G68" s="301" t="s">
        <v>61</v>
      </c>
    </row>
    <row r="69" spans="1:7" ht="16" thickBot="1" x14ac:dyDescent="0.4">
      <c r="B69" s="143"/>
      <c r="C69" s="251"/>
      <c r="D69" s="230"/>
      <c r="E69" s="270"/>
      <c r="F69" s="258"/>
      <c r="G69" s="313"/>
    </row>
    <row r="70" spans="1:7" x14ac:dyDescent="0.35">
      <c r="A70" s="6" t="s">
        <v>62</v>
      </c>
      <c r="C70" s="326" t="s">
        <v>63</v>
      </c>
      <c r="D70" s="327"/>
      <c r="E70" s="328"/>
      <c r="F70" s="259"/>
    </row>
    <row r="71" spans="1:7" ht="28" x14ac:dyDescent="0.3">
      <c r="A71" s="3" t="s">
        <v>64</v>
      </c>
      <c r="B71" s="204" t="s">
        <v>623</v>
      </c>
      <c r="C71" s="276" t="e">
        <f>VLOOKUP($F$13,'Data FY24 Final'!$A$2:$Z$180,24,FALSE)</f>
        <v>#N/A</v>
      </c>
      <c r="D71" s="249" t="e">
        <f>VLOOKUP($F$13,'Data Aug 25 AV'!$A$3:$Z$180,24,FALSE)</f>
        <v>#N/A</v>
      </c>
      <c r="E71" s="261" t="e">
        <f>VLOOKUP($F$13,'Data Aug 25 AV'!$A$3:$Z$180,24,FALSE)</f>
        <v>#N/A</v>
      </c>
      <c r="F71" s="149"/>
      <c r="G71" s="305" t="s">
        <v>622</v>
      </c>
    </row>
    <row r="72" spans="1:7" x14ac:dyDescent="0.3">
      <c r="B72" s="160"/>
      <c r="C72" s="262"/>
      <c r="D72" s="260"/>
      <c r="E72" s="263"/>
      <c r="F72" s="149"/>
      <c r="G72" s="305"/>
    </row>
    <row r="73" spans="1:7" ht="28.5" x14ac:dyDescent="0.35">
      <c r="A73" s="148" t="s">
        <v>621</v>
      </c>
      <c r="B73" s="204" t="s">
        <v>623</v>
      </c>
      <c r="C73" s="264" t="e">
        <f>VLOOKUP($F$13,'Data FY24 Final'!$A$2:$Z$180,25,FALSE)</f>
        <v>#N/A</v>
      </c>
      <c r="D73" s="254" t="e">
        <f>VLOOKUP($F$13,'Data Aug 25 AV'!$A$3:$Z$180,26,FALSE)</f>
        <v>#N/A</v>
      </c>
      <c r="E73" s="265" t="e">
        <f>VLOOKUP($F$13,'Data Aug 25 AV'!$A$3:$Z$180,26,FALSE)</f>
        <v>#N/A</v>
      </c>
      <c r="F73" s="150"/>
    </row>
    <row r="74" spans="1:7" ht="16" thickBot="1" x14ac:dyDescent="0.4">
      <c r="C74" s="266"/>
      <c r="D74" s="267"/>
      <c r="E74" s="268"/>
    </row>
    <row r="75" spans="1:7" ht="61" customHeight="1" x14ac:dyDescent="0.35">
      <c r="C75" s="147"/>
    </row>
    <row r="76" spans="1:7" ht="16" thickBot="1" x14ac:dyDescent="0.4">
      <c r="A76" s="232">
        <f>F7</f>
        <v>0</v>
      </c>
      <c r="C76" s="233">
        <f>F8</f>
        <v>0</v>
      </c>
    </row>
    <row r="77" spans="1:7" x14ac:dyDescent="0.35">
      <c r="A77" s="3" t="s">
        <v>65</v>
      </c>
      <c r="C77" s="1" t="s">
        <v>66</v>
      </c>
    </row>
    <row r="79" spans="1:7" x14ac:dyDescent="0.35">
      <c r="A79" s="6"/>
    </row>
    <row r="80" spans="1:7" ht="41.25" customHeight="1" x14ac:dyDescent="0.35">
      <c r="A80" s="323" t="s">
        <v>631</v>
      </c>
      <c r="B80" s="323"/>
      <c r="C80" s="202"/>
      <c r="D80" s="202"/>
      <c r="E80" s="202"/>
    </row>
    <row r="81" spans="1:6" ht="69.75" customHeight="1" x14ac:dyDescent="0.35">
      <c r="A81" s="324" t="s">
        <v>616</v>
      </c>
      <c r="B81" s="324"/>
    </row>
    <row r="82" spans="1:6" x14ac:dyDescent="0.35">
      <c r="A82" s="7"/>
    </row>
    <row r="84" spans="1:6" x14ac:dyDescent="0.35">
      <c r="E84" s="4"/>
      <c r="F84" s="2"/>
    </row>
    <row r="85" spans="1:6" x14ac:dyDescent="0.35">
      <c r="E85" s="4"/>
      <c r="F85" s="2"/>
    </row>
    <row r="86" spans="1:6" x14ac:dyDescent="0.35">
      <c r="E86" s="4"/>
      <c r="F86" s="2"/>
    </row>
  </sheetData>
  <sheetProtection algorithmName="SHA-512" hashValue="gxl/S6NawzbNIW2E8AAOf+u8I//YUxLa7BDGjWpPMVgD+9AubwjaRGNWEYXlG14H4rT78vkits/0uBJijeJ4fg==" saltValue="Hd2YfOIrg23LQ+1XaCuTXg==" spinCount="100000" sheet="1" formatCells="0" formatColumns="0" formatRows="0"/>
  <protectedRanges>
    <protectedRange sqref="F7" name="Range1"/>
  </protectedRanges>
  <mergeCells count="9">
    <mergeCell ref="A80:B80"/>
    <mergeCell ref="A81:B81"/>
    <mergeCell ref="H16:L16"/>
    <mergeCell ref="C70:E70"/>
    <mergeCell ref="B2:F2"/>
    <mergeCell ref="B4:F4"/>
    <mergeCell ref="B3:F3"/>
    <mergeCell ref="B5:F5"/>
    <mergeCell ref="B6:F6"/>
  </mergeCells>
  <phoneticPr fontId="44" type="noConversion"/>
  <hyperlinks>
    <hyperlink ref="A81" r:id="rId1" xr:uid="{1F14999F-502C-48F9-95E1-DFF817E73D06}"/>
  </hyperlinks>
  <pageMargins left="0.5" right="0.25" top="0.75" bottom="0.75" header="0.3" footer="0.3"/>
  <pageSetup scale="47"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88CE-1159-463E-8259-4790ACC8A2FE}">
  <dimension ref="A1:Z186"/>
  <sheetViews>
    <sheetView topLeftCell="O1" workbookViewId="0">
      <pane ySplit="2" topLeftCell="A165" activePane="bottomLeft" state="frozen"/>
      <selection pane="bottomLeft" activeCell="Y167" sqref="Y167"/>
    </sheetView>
  </sheetViews>
  <sheetFormatPr defaultRowHeight="12.5" x14ac:dyDescent="0.25"/>
  <cols>
    <col min="1" max="1" width="6.08203125" style="137" bestFit="1" customWidth="1"/>
    <col min="2" max="2" width="14.33203125" style="137" bestFit="1" customWidth="1"/>
    <col min="3" max="3" width="21.83203125" style="137" bestFit="1" customWidth="1"/>
    <col min="4" max="4" width="16.25" style="215" bestFit="1" customWidth="1"/>
    <col min="5" max="5" width="15" style="215" bestFit="1" customWidth="1"/>
    <col min="6" max="6" width="16.5" style="215" bestFit="1" customWidth="1"/>
    <col min="7" max="7" width="13.83203125" style="215" bestFit="1" customWidth="1"/>
    <col min="8" max="8" width="11.33203125" style="135" bestFit="1" customWidth="1"/>
    <col min="9" max="9" width="10.33203125" style="136" customWidth="1"/>
    <col min="10" max="10" width="9.83203125" style="138" bestFit="1" customWidth="1"/>
    <col min="11" max="11" width="8.83203125" style="137" bestFit="1" customWidth="1"/>
    <col min="12" max="12" width="9.08203125" style="137" customWidth="1"/>
    <col min="13" max="13" width="11.5" style="137" bestFit="1" customWidth="1"/>
    <col min="14" max="14" width="10.5" style="137" bestFit="1" customWidth="1"/>
    <col min="15" max="15" width="11.5" style="216" bestFit="1" customWidth="1"/>
    <col min="16" max="16" width="12.5" style="137" bestFit="1" customWidth="1"/>
    <col min="17" max="17" width="9.08203125" style="137" bestFit="1" customWidth="1"/>
    <col min="18" max="18" width="11.33203125" style="136" customWidth="1"/>
    <col min="19" max="19" width="8.58203125" style="137" bestFit="1" customWidth="1"/>
    <col min="20" max="20" width="10.08203125" style="137" customWidth="1"/>
    <col min="21" max="21" width="11.25" style="137" customWidth="1"/>
    <col min="22" max="22" width="9.25" style="140" customWidth="1"/>
    <col min="23" max="23" width="10.5" style="136" bestFit="1" customWidth="1"/>
    <col min="24" max="24" width="12.5" style="225" bestFit="1" customWidth="1"/>
    <col min="25" max="25" width="15.5" style="215" bestFit="1" customWidth="1"/>
    <col min="26" max="26" width="16.5" style="215" bestFit="1" customWidth="1"/>
    <col min="27" max="251" width="9" style="136"/>
    <col min="252" max="252" width="6.08203125" style="136" bestFit="1" customWidth="1"/>
    <col min="253" max="253" width="14.33203125" style="136" bestFit="1" customWidth="1"/>
    <col min="254" max="254" width="21.83203125" style="136" bestFit="1" customWidth="1"/>
    <col min="255" max="255" width="0" style="136" hidden="1" customWidth="1"/>
    <col min="256" max="256" width="16.5" style="136" bestFit="1" customWidth="1"/>
    <col min="257" max="257" width="14" style="136" bestFit="1" customWidth="1"/>
    <col min="258" max="258" width="15.5" style="136" bestFit="1" customWidth="1"/>
    <col min="259" max="259" width="9.83203125" style="136" bestFit="1" customWidth="1"/>
    <col min="260" max="260" width="8.83203125" style="136" bestFit="1" customWidth="1"/>
    <col min="261" max="261" width="11.5" style="136" bestFit="1" customWidth="1"/>
    <col min="262" max="262" width="10.5" style="136" bestFit="1" customWidth="1"/>
    <col min="263" max="263" width="11.5" style="136" bestFit="1" customWidth="1"/>
    <col min="264" max="264" width="12.5" style="136" bestFit="1" customWidth="1"/>
    <col min="265" max="265" width="9.08203125" style="136" bestFit="1" customWidth="1"/>
    <col min="266" max="266" width="12.5" style="136" bestFit="1" customWidth="1"/>
    <col min="267" max="267" width="16.5" style="136" bestFit="1" customWidth="1"/>
    <col min="268" max="268" width="13.83203125" style="136" bestFit="1" customWidth="1"/>
    <col min="269" max="269" width="8.58203125" style="136" bestFit="1" customWidth="1"/>
    <col min="270" max="270" width="6.58203125" style="136" bestFit="1" customWidth="1"/>
    <col min="271" max="271" width="9.08203125" style="136" customWidth="1"/>
    <col min="272" max="272" width="6.08203125" style="136" bestFit="1" customWidth="1"/>
    <col min="273" max="273" width="9.33203125" style="136" bestFit="1" customWidth="1"/>
    <col min="274" max="274" width="10.5" style="136" bestFit="1" customWidth="1"/>
    <col min="275" max="507" width="9" style="136"/>
    <col min="508" max="508" width="6.08203125" style="136" bestFit="1" customWidth="1"/>
    <col min="509" max="509" width="14.33203125" style="136" bestFit="1" customWidth="1"/>
    <col min="510" max="510" width="21.83203125" style="136" bestFit="1" customWidth="1"/>
    <col min="511" max="511" width="0" style="136" hidden="1" customWidth="1"/>
    <col min="512" max="512" width="16.5" style="136" bestFit="1" customWidth="1"/>
    <col min="513" max="513" width="14" style="136" bestFit="1" customWidth="1"/>
    <col min="514" max="514" width="15.5" style="136" bestFit="1" customWidth="1"/>
    <col min="515" max="515" width="9.83203125" style="136" bestFit="1" customWidth="1"/>
    <col min="516" max="516" width="8.83203125" style="136" bestFit="1" customWidth="1"/>
    <col min="517" max="517" width="11.5" style="136" bestFit="1" customWidth="1"/>
    <col min="518" max="518" width="10.5" style="136" bestFit="1" customWidth="1"/>
    <col min="519" max="519" width="11.5" style="136" bestFit="1" customWidth="1"/>
    <col min="520" max="520" width="12.5" style="136" bestFit="1" customWidth="1"/>
    <col min="521" max="521" width="9.08203125" style="136" bestFit="1" customWidth="1"/>
    <col min="522" max="522" width="12.5" style="136" bestFit="1" customWidth="1"/>
    <col min="523" max="523" width="16.5" style="136" bestFit="1" customWidth="1"/>
    <col min="524" max="524" width="13.83203125" style="136" bestFit="1" customWidth="1"/>
    <col min="525" max="525" width="8.58203125" style="136" bestFit="1" customWidth="1"/>
    <col min="526" max="526" width="6.58203125" style="136" bestFit="1" customWidth="1"/>
    <col min="527" max="527" width="9.08203125" style="136" customWidth="1"/>
    <col min="528" max="528" width="6.08203125" style="136" bestFit="1" customWidth="1"/>
    <col min="529" max="529" width="9.33203125" style="136" bestFit="1" customWidth="1"/>
    <col min="530" max="530" width="10.5" style="136" bestFit="1" customWidth="1"/>
    <col min="531" max="763" width="9" style="136"/>
    <col min="764" max="764" width="6.08203125" style="136" bestFit="1" customWidth="1"/>
    <col min="765" max="765" width="14.33203125" style="136" bestFit="1" customWidth="1"/>
    <col min="766" max="766" width="21.83203125" style="136" bestFit="1" customWidth="1"/>
    <col min="767" max="767" width="0" style="136" hidden="1" customWidth="1"/>
    <col min="768" max="768" width="16.5" style="136" bestFit="1" customWidth="1"/>
    <col min="769" max="769" width="14" style="136" bestFit="1" customWidth="1"/>
    <col min="770" max="770" width="15.5" style="136" bestFit="1" customWidth="1"/>
    <col min="771" max="771" width="9.83203125" style="136" bestFit="1" customWidth="1"/>
    <col min="772" max="772" width="8.83203125" style="136" bestFit="1" customWidth="1"/>
    <col min="773" max="773" width="11.5" style="136" bestFit="1" customWidth="1"/>
    <col min="774" max="774" width="10.5" style="136" bestFit="1" customWidth="1"/>
    <col min="775" max="775" width="11.5" style="136" bestFit="1" customWidth="1"/>
    <col min="776" max="776" width="12.5" style="136" bestFit="1" customWidth="1"/>
    <col min="777" max="777" width="9.08203125" style="136" bestFit="1" customWidth="1"/>
    <col min="778" max="778" width="12.5" style="136" bestFit="1" customWidth="1"/>
    <col min="779" max="779" width="16.5" style="136" bestFit="1" customWidth="1"/>
    <col min="780" max="780" width="13.83203125" style="136" bestFit="1" customWidth="1"/>
    <col min="781" max="781" width="8.58203125" style="136" bestFit="1" customWidth="1"/>
    <col min="782" max="782" width="6.58203125" style="136" bestFit="1" customWidth="1"/>
    <col min="783" max="783" width="9.08203125" style="136" customWidth="1"/>
    <col min="784" max="784" width="6.08203125" style="136" bestFit="1" customWidth="1"/>
    <col min="785" max="785" width="9.33203125" style="136" bestFit="1" customWidth="1"/>
    <col min="786" max="786" width="10.5" style="136" bestFit="1" customWidth="1"/>
    <col min="787" max="1019" width="9" style="136"/>
    <col min="1020" max="1020" width="6.08203125" style="136" bestFit="1" customWidth="1"/>
    <col min="1021" max="1021" width="14.33203125" style="136" bestFit="1" customWidth="1"/>
    <col min="1022" max="1022" width="21.83203125" style="136" bestFit="1" customWidth="1"/>
    <col min="1023" max="1023" width="0" style="136" hidden="1" customWidth="1"/>
    <col min="1024" max="1024" width="16.5" style="136" bestFit="1" customWidth="1"/>
    <col min="1025" max="1025" width="14" style="136" bestFit="1" customWidth="1"/>
    <col min="1026" max="1026" width="15.5" style="136" bestFit="1" customWidth="1"/>
    <col min="1027" max="1027" width="9.83203125" style="136" bestFit="1" customWidth="1"/>
    <col min="1028" max="1028" width="8.83203125" style="136" bestFit="1" customWidth="1"/>
    <col min="1029" max="1029" width="11.5" style="136" bestFit="1" customWidth="1"/>
    <col min="1030" max="1030" width="10.5" style="136" bestFit="1" customWidth="1"/>
    <col min="1031" max="1031" width="11.5" style="136" bestFit="1" customWidth="1"/>
    <col min="1032" max="1032" width="12.5" style="136" bestFit="1" customWidth="1"/>
    <col min="1033" max="1033" width="9.08203125" style="136" bestFit="1" customWidth="1"/>
    <col min="1034" max="1034" width="12.5" style="136" bestFit="1" customWidth="1"/>
    <col min="1035" max="1035" width="16.5" style="136" bestFit="1" customWidth="1"/>
    <col min="1036" max="1036" width="13.83203125" style="136" bestFit="1" customWidth="1"/>
    <col min="1037" max="1037" width="8.58203125" style="136" bestFit="1" customWidth="1"/>
    <col min="1038" max="1038" width="6.58203125" style="136" bestFit="1" customWidth="1"/>
    <col min="1039" max="1039" width="9.08203125" style="136" customWidth="1"/>
    <col min="1040" max="1040" width="6.08203125" style="136" bestFit="1" customWidth="1"/>
    <col min="1041" max="1041" width="9.33203125" style="136" bestFit="1" customWidth="1"/>
    <col min="1042" max="1042" width="10.5" style="136" bestFit="1" customWidth="1"/>
    <col min="1043" max="1275" width="9" style="136"/>
    <col min="1276" max="1276" width="6.08203125" style="136" bestFit="1" customWidth="1"/>
    <col min="1277" max="1277" width="14.33203125" style="136" bestFit="1" customWidth="1"/>
    <col min="1278" max="1278" width="21.83203125" style="136" bestFit="1" customWidth="1"/>
    <col min="1279" max="1279" width="0" style="136" hidden="1" customWidth="1"/>
    <col min="1280" max="1280" width="16.5" style="136" bestFit="1" customWidth="1"/>
    <col min="1281" max="1281" width="14" style="136" bestFit="1" customWidth="1"/>
    <col min="1282" max="1282" width="15.5" style="136" bestFit="1" customWidth="1"/>
    <col min="1283" max="1283" width="9.83203125" style="136" bestFit="1" customWidth="1"/>
    <col min="1284" max="1284" width="8.83203125" style="136" bestFit="1" customWidth="1"/>
    <col min="1285" max="1285" width="11.5" style="136" bestFit="1" customWidth="1"/>
    <col min="1286" max="1286" width="10.5" style="136" bestFit="1" customWidth="1"/>
    <col min="1287" max="1287" width="11.5" style="136" bestFit="1" customWidth="1"/>
    <col min="1288" max="1288" width="12.5" style="136" bestFit="1" customWidth="1"/>
    <col min="1289" max="1289" width="9.08203125" style="136" bestFit="1" customWidth="1"/>
    <col min="1290" max="1290" width="12.5" style="136" bestFit="1" customWidth="1"/>
    <col min="1291" max="1291" width="16.5" style="136" bestFit="1" customWidth="1"/>
    <col min="1292" max="1292" width="13.83203125" style="136" bestFit="1" customWidth="1"/>
    <col min="1293" max="1293" width="8.58203125" style="136" bestFit="1" customWidth="1"/>
    <col min="1294" max="1294" width="6.58203125" style="136" bestFit="1" customWidth="1"/>
    <col min="1295" max="1295" width="9.08203125" style="136" customWidth="1"/>
    <col min="1296" max="1296" width="6.08203125" style="136" bestFit="1" customWidth="1"/>
    <col min="1297" max="1297" width="9.33203125" style="136" bestFit="1" customWidth="1"/>
    <col min="1298" max="1298" width="10.5" style="136" bestFit="1" customWidth="1"/>
    <col min="1299" max="1531" width="9" style="136"/>
    <col min="1532" max="1532" width="6.08203125" style="136" bestFit="1" customWidth="1"/>
    <col min="1533" max="1533" width="14.33203125" style="136" bestFit="1" customWidth="1"/>
    <col min="1534" max="1534" width="21.83203125" style="136" bestFit="1" customWidth="1"/>
    <col min="1535" max="1535" width="0" style="136" hidden="1" customWidth="1"/>
    <col min="1536" max="1536" width="16.5" style="136" bestFit="1" customWidth="1"/>
    <col min="1537" max="1537" width="14" style="136" bestFit="1" customWidth="1"/>
    <col min="1538" max="1538" width="15.5" style="136" bestFit="1" customWidth="1"/>
    <col min="1539" max="1539" width="9.83203125" style="136" bestFit="1" customWidth="1"/>
    <col min="1540" max="1540" width="8.83203125" style="136" bestFit="1" customWidth="1"/>
    <col min="1541" max="1541" width="11.5" style="136" bestFit="1" customWidth="1"/>
    <col min="1542" max="1542" width="10.5" style="136" bestFit="1" customWidth="1"/>
    <col min="1543" max="1543" width="11.5" style="136" bestFit="1" customWidth="1"/>
    <col min="1544" max="1544" width="12.5" style="136" bestFit="1" customWidth="1"/>
    <col min="1545" max="1545" width="9.08203125" style="136" bestFit="1" customWidth="1"/>
    <col min="1546" max="1546" width="12.5" style="136" bestFit="1" customWidth="1"/>
    <col min="1547" max="1547" width="16.5" style="136" bestFit="1" customWidth="1"/>
    <col min="1548" max="1548" width="13.83203125" style="136" bestFit="1" customWidth="1"/>
    <col min="1549" max="1549" width="8.58203125" style="136" bestFit="1" customWidth="1"/>
    <col min="1550" max="1550" width="6.58203125" style="136" bestFit="1" customWidth="1"/>
    <col min="1551" max="1551" width="9.08203125" style="136" customWidth="1"/>
    <col min="1552" max="1552" width="6.08203125" style="136" bestFit="1" customWidth="1"/>
    <col min="1553" max="1553" width="9.33203125" style="136" bestFit="1" customWidth="1"/>
    <col min="1554" max="1554" width="10.5" style="136" bestFit="1" customWidth="1"/>
    <col min="1555" max="1787" width="9" style="136"/>
    <col min="1788" max="1788" width="6.08203125" style="136" bestFit="1" customWidth="1"/>
    <col min="1789" max="1789" width="14.33203125" style="136" bestFit="1" customWidth="1"/>
    <col min="1790" max="1790" width="21.83203125" style="136" bestFit="1" customWidth="1"/>
    <col min="1791" max="1791" width="0" style="136" hidden="1" customWidth="1"/>
    <col min="1792" max="1792" width="16.5" style="136" bestFit="1" customWidth="1"/>
    <col min="1793" max="1793" width="14" style="136" bestFit="1" customWidth="1"/>
    <col min="1794" max="1794" width="15.5" style="136" bestFit="1" customWidth="1"/>
    <col min="1795" max="1795" width="9.83203125" style="136" bestFit="1" customWidth="1"/>
    <col min="1796" max="1796" width="8.83203125" style="136" bestFit="1" customWidth="1"/>
    <col min="1797" max="1797" width="11.5" style="136" bestFit="1" customWidth="1"/>
    <col min="1798" max="1798" width="10.5" style="136" bestFit="1" customWidth="1"/>
    <col min="1799" max="1799" width="11.5" style="136" bestFit="1" customWidth="1"/>
    <col min="1800" max="1800" width="12.5" style="136" bestFit="1" customWidth="1"/>
    <col min="1801" max="1801" width="9.08203125" style="136" bestFit="1" customWidth="1"/>
    <col min="1802" max="1802" width="12.5" style="136" bestFit="1" customWidth="1"/>
    <col min="1803" max="1803" width="16.5" style="136" bestFit="1" customWidth="1"/>
    <col min="1804" max="1804" width="13.83203125" style="136" bestFit="1" customWidth="1"/>
    <col min="1805" max="1805" width="8.58203125" style="136" bestFit="1" customWidth="1"/>
    <col min="1806" max="1806" width="6.58203125" style="136" bestFit="1" customWidth="1"/>
    <col min="1807" max="1807" width="9.08203125" style="136" customWidth="1"/>
    <col min="1808" max="1808" width="6.08203125" style="136" bestFit="1" customWidth="1"/>
    <col min="1809" max="1809" width="9.33203125" style="136" bestFit="1" customWidth="1"/>
    <col min="1810" max="1810" width="10.5" style="136" bestFit="1" customWidth="1"/>
    <col min="1811" max="2043" width="9" style="136"/>
    <col min="2044" max="2044" width="6.08203125" style="136" bestFit="1" customWidth="1"/>
    <col min="2045" max="2045" width="14.33203125" style="136" bestFit="1" customWidth="1"/>
    <col min="2046" max="2046" width="21.83203125" style="136" bestFit="1" customWidth="1"/>
    <col min="2047" max="2047" width="0" style="136" hidden="1" customWidth="1"/>
    <col min="2048" max="2048" width="16.5" style="136" bestFit="1" customWidth="1"/>
    <col min="2049" max="2049" width="14" style="136" bestFit="1" customWidth="1"/>
    <col min="2050" max="2050" width="15.5" style="136" bestFit="1" customWidth="1"/>
    <col min="2051" max="2051" width="9.83203125" style="136" bestFit="1" customWidth="1"/>
    <col min="2052" max="2052" width="8.83203125" style="136" bestFit="1" customWidth="1"/>
    <col min="2053" max="2053" width="11.5" style="136" bestFit="1" customWidth="1"/>
    <col min="2054" max="2054" width="10.5" style="136" bestFit="1" customWidth="1"/>
    <col min="2055" max="2055" width="11.5" style="136" bestFit="1" customWidth="1"/>
    <col min="2056" max="2056" width="12.5" style="136" bestFit="1" customWidth="1"/>
    <col min="2057" max="2057" width="9.08203125" style="136" bestFit="1" customWidth="1"/>
    <col min="2058" max="2058" width="12.5" style="136" bestFit="1" customWidth="1"/>
    <col min="2059" max="2059" width="16.5" style="136" bestFit="1" customWidth="1"/>
    <col min="2060" max="2060" width="13.83203125" style="136" bestFit="1" customWidth="1"/>
    <col min="2061" max="2061" width="8.58203125" style="136" bestFit="1" customWidth="1"/>
    <col min="2062" max="2062" width="6.58203125" style="136" bestFit="1" customWidth="1"/>
    <col min="2063" max="2063" width="9.08203125" style="136" customWidth="1"/>
    <col min="2064" max="2064" width="6.08203125" style="136" bestFit="1" customWidth="1"/>
    <col min="2065" max="2065" width="9.33203125" style="136" bestFit="1" customWidth="1"/>
    <col min="2066" max="2066" width="10.5" style="136" bestFit="1" customWidth="1"/>
    <col min="2067" max="2299" width="9" style="136"/>
    <col min="2300" max="2300" width="6.08203125" style="136" bestFit="1" customWidth="1"/>
    <col min="2301" max="2301" width="14.33203125" style="136" bestFit="1" customWidth="1"/>
    <col min="2302" max="2302" width="21.83203125" style="136" bestFit="1" customWidth="1"/>
    <col min="2303" max="2303" width="0" style="136" hidden="1" customWidth="1"/>
    <col min="2304" max="2304" width="16.5" style="136" bestFit="1" customWidth="1"/>
    <col min="2305" max="2305" width="14" style="136" bestFit="1" customWidth="1"/>
    <col min="2306" max="2306" width="15.5" style="136" bestFit="1" customWidth="1"/>
    <col min="2307" max="2307" width="9.83203125" style="136" bestFit="1" customWidth="1"/>
    <col min="2308" max="2308" width="8.83203125" style="136" bestFit="1" customWidth="1"/>
    <col min="2309" max="2309" width="11.5" style="136" bestFit="1" customWidth="1"/>
    <col min="2310" max="2310" width="10.5" style="136" bestFit="1" customWidth="1"/>
    <col min="2311" max="2311" width="11.5" style="136" bestFit="1" customWidth="1"/>
    <col min="2312" max="2312" width="12.5" style="136" bestFit="1" customWidth="1"/>
    <col min="2313" max="2313" width="9.08203125" style="136" bestFit="1" customWidth="1"/>
    <col min="2314" max="2314" width="12.5" style="136" bestFit="1" customWidth="1"/>
    <col min="2315" max="2315" width="16.5" style="136" bestFit="1" customWidth="1"/>
    <col min="2316" max="2316" width="13.83203125" style="136" bestFit="1" customWidth="1"/>
    <col min="2317" max="2317" width="8.58203125" style="136" bestFit="1" customWidth="1"/>
    <col min="2318" max="2318" width="6.58203125" style="136" bestFit="1" customWidth="1"/>
    <col min="2319" max="2319" width="9.08203125" style="136" customWidth="1"/>
    <col min="2320" max="2320" width="6.08203125" style="136" bestFit="1" customWidth="1"/>
    <col min="2321" max="2321" width="9.33203125" style="136" bestFit="1" customWidth="1"/>
    <col min="2322" max="2322" width="10.5" style="136" bestFit="1" customWidth="1"/>
    <col min="2323" max="2555" width="9" style="136"/>
    <col min="2556" max="2556" width="6.08203125" style="136" bestFit="1" customWidth="1"/>
    <col min="2557" max="2557" width="14.33203125" style="136" bestFit="1" customWidth="1"/>
    <col min="2558" max="2558" width="21.83203125" style="136" bestFit="1" customWidth="1"/>
    <col min="2559" max="2559" width="0" style="136" hidden="1" customWidth="1"/>
    <col min="2560" max="2560" width="16.5" style="136" bestFit="1" customWidth="1"/>
    <col min="2561" max="2561" width="14" style="136" bestFit="1" customWidth="1"/>
    <col min="2562" max="2562" width="15.5" style="136" bestFit="1" customWidth="1"/>
    <col min="2563" max="2563" width="9.83203125" style="136" bestFit="1" customWidth="1"/>
    <col min="2564" max="2564" width="8.83203125" style="136" bestFit="1" customWidth="1"/>
    <col min="2565" max="2565" width="11.5" style="136" bestFit="1" customWidth="1"/>
    <col min="2566" max="2566" width="10.5" style="136" bestFit="1" customWidth="1"/>
    <col min="2567" max="2567" width="11.5" style="136" bestFit="1" customWidth="1"/>
    <col min="2568" max="2568" width="12.5" style="136" bestFit="1" customWidth="1"/>
    <col min="2569" max="2569" width="9.08203125" style="136" bestFit="1" customWidth="1"/>
    <col min="2570" max="2570" width="12.5" style="136" bestFit="1" customWidth="1"/>
    <col min="2571" max="2571" width="16.5" style="136" bestFit="1" customWidth="1"/>
    <col min="2572" max="2572" width="13.83203125" style="136" bestFit="1" customWidth="1"/>
    <col min="2573" max="2573" width="8.58203125" style="136" bestFit="1" customWidth="1"/>
    <col min="2574" max="2574" width="6.58203125" style="136" bestFit="1" customWidth="1"/>
    <col min="2575" max="2575" width="9.08203125" style="136" customWidth="1"/>
    <col min="2576" max="2576" width="6.08203125" style="136" bestFit="1" customWidth="1"/>
    <col min="2577" max="2577" width="9.33203125" style="136" bestFit="1" customWidth="1"/>
    <col min="2578" max="2578" width="10.5" style="136" bestFit="1" customWidth="1"/>
    <col min="2579" max="2811" width="9" style="136"/>
    <col min="2812" max="2812" width="6.08203125" style="136" bestFit="1" customWidth="1"/>
    <col min="2813" max="2813" width="14.33203125" style="136" bestFit="1" customWidth="1"/>
    <col min="2814" max="2814" width="21.83203125" style="136" bestFit="1" customWidth="1"/>
    <col min="2815" max="2815" width="0" style="136" hidden="1" customWidth="1"/>
    <col min="2816" max="2816" width="16.5" style="136" bestFit="1" customWidth="1"/>
    <col min="2817" max="2817" width="14" style="136" bestFit="1" customWidth="1"/>
    <col min="2818" max="2818" width="15.5" style="136" bestFit="1" customWidth="1"/>
    <col min="2819" max="2819" width="9.83203125" style="136" bestFit="1" customWidth="1"/>
    <col min="2820" max="2820" width="8.83203125" style="136" bestFit="1" customWidth="1"/>
    <col min="2821" max="2821" width="11.5" style="136" bestFit="1" customWidth="1"/>
    <col min="2822" max="2822" width="10.5" style="136" bestFit="1" customWidth="1"/>
    <col min="2823" max="2823" width="11.5" style="136" bestFit="1" customWidth="1"/>
    <col min="2824" max="2824" width="12.5" style="136" bestFit="1" customWidth="1"/>
    <col min="2825" max="2825" width="9.08203125" style="136" bestFit="1" customWidth="1"/>
    <col min="2826" max="2826" width="12.5" style="136" bestFit="1" customWidth="1"/>
    <col min="2827" max="2827" width="16.5" style="136" bestFit="1" customWidth="1"/>
    <col min="2828" max="2828" width="13.83203125" style="136" bestFit="1" customWidth="1"/>
    <col min="2829" max="2829" width="8.58203125" style="136" bestFit="1" customWidth="1"/>
    <col min="2830" max="2830" width="6.58203125" style="136" bestFit="1" customWidth="1"/>
    <col min="2831" max="2831" width="9.08203125" style="136" customWidth="1"/>
    <col min="2832" max="2832" width="6.08203125" style="136" bestFit="1" customWidth="1"/>
    <col min="2833" max="2833" width="9.33203125" style="136" bestFit="1" customWidth="1"/>
    <col min="2834" max="2834" width="10.5" style="136" bestFit="1" customWidth="1"/>
    <col min="2835" max="3067" width="9" style="136"/>
    <col min="3068" max="3068" width="6.08203125" style="136" bestFit="1" customWidth="1"/>
    <col min="3069" max="3069" width="14.33203125" style="136" bestFit="1" customWidth="1"/>
    <col min="3070" max="3070" width="21.83203125" style="136" bestFit="1" customWidth="1"/>
    <col min="3071" max="3071" width="0" style="136" hidden="1" customWidth="1"/>
    <col min="3072" max="3072" width="16.5" style="136" bestFit="1" customWidth="1"/>
    <col min="3073" max="3073" width="14" style="136" bestFit="1" customWidth="1"/>
    <col min="3074" max="3074" width="15.5" style="136" bestFit="1" customWidth="1"/>
    <col min="3075" max="3075" width="9.83203125" style="136" bestFit="1" customWidth="1"/>
    <col min="3076" max="3076" width="8.83203125" style="136" bestFit="1" customWidth="1"/>
    <col min="3077" max="3077" width="11.5" style="136" bestFit="1" customWidth="1"/>
    <col min="3078" max="3078" width="10.5" style="136" bestFit="1" customWidth="1"/>
    <col min="3079" max="3079" width="11.5" style="136" bestFit="1" customWidth="1"/>
    <col min="3080" max="3080" width="12.5" style="136" bestFit="1" customWidth="1"/>
    <col min="3081" max="3081" width="9.08203125" style="136" bestFit="1" customWidth="1"/>
    <col min="3082" max="3082" width="12.5" style="136" bestFit="1" customWidth="1"/>
    <col min="3083" max="3083" width="16.5" style="136" bestFit="1" customWidth="1"/>
    <col min="3084" max="3084" width="13.83203125" style="136" bestFit="1" customWidth="1"/>
    <col min="3085" max="3085" width="8.58203125" style="136" bestFit="1" customWidth="1"/>
    <col min="3086" max="3086" width="6.58203125" style="136" bestFit="1" customWidth="1"/>
    <col min="3087" max="3087" width="9.08203125" style="136" customWidth="1"/>
    <col min="3088" max="3088" width="6.08203125" style="136" bestFit="1" customWidth="1"/>
    <col min="3089" max="3089" width="9.33203125" style="136" bestFit="1" customWidth="1"/>
    <col min="3090" max="3090" width="10.5" style="136" bestFit="1" customWidth="1"/>
    <col min="3091" max="3323" width="9" style="136"/>
    <col min="3324" max="3324" width="6.08203125" style="136" bestFit="1" customWidth="1"/>
    <col min="3325" max="3325" width="14.33203125" style="136" bestFit="1" customWidth="1"/>
    <col min="3326" max="3326" width="21.83203125" style="136" bestFit="1" customWidth="1"/>
    <col min="3327" max="3327" width="0" style="136" hidden="1" customWidth="1"/>
    <col min="3328" max="3328" width="16.5" style="136" bestFit="1" customWidth="1"/>
    <col min="3329" max="3329" width="14" style="136" bestFit="1" customWidth="1"/>
    <col min="3330" max="3330" width="15.5" style="136" bestFit="1" customWidth="1"/>
    <col min="3331" max="3331" width="9.83203125" style="136" bestFit="1" customWidth="1"/>
    <col min="3332" max="3332" width="8.83203125" style="136" bestFit="1" customWidth="1"/>
    <col min="3333" max="3333" width="11.5" style="136" bestFit="1" customWidth="1"/>
    <col min="3334" max="3334" width="10.5" style="136" bestFit="1" customWidth="1"/>
    <col min="3335" max="3335" width="11.5" style="136" bestFit="1" customWidth="1"/>
    <col min="3336" max="3336" width="12.5" style="136" bestFit="1" customWidth="1"/>
    <col min="3337" max="3337" width="9.08203125" style="136" bestFit="1" customWidth="1"/>
    <col min="3338" max="3338" width="12.5" style="136" bestFit="1" customWidth="1"/>
    <col min="3339" max="3339" width="16.5" style="136" bestFit="1" customWidth="1"/>
    <col min="3340" max="3340" width="13.83203125" style="136" bestFit="1" customWidth="1"/>
    <col min="3341" max="3341" width="8.58203125" style="136" bestFit="1" customWidth="1"/>
    <col min="3342" max="3342" width="6.58203125" style="136" bestFit="1" customWidth="1"/>
    <col min="3343" max="3343" width="9.08203125" style="136" customWidth="1"/>
    <col min="3344" max="3344" width="6.08203125" style="136" bestFit="1" customWidth="1"/>
    <col min="3345" max="3345" width="9.33203125" style="136" bestFit="1" customWidth="1"/>
    <col min="3346" max="3346" width="10.5" style="136" bestFit="1" customWidth="1"/>
    <col min="3347" max="3579" width="9" style="136"/>
    <col min="3580" max="3580" width="6.08203125" style="136" bestFit="1" customWidth="1"/>
    <col min="3581" max="3581" width="14.33203125" style="136" bestFit="1" customWidth="1"/>
    <col min="3582" max="3582" width="21.83203125" style="136" bestFit="1" customWidth="1"/>
    <col min="3583" max="3583" width="0" style="136" hidden="1" customWidth="1"/>
    <col min="3584" max="3584" width="16.5" style="136" bestFit="1" customWidth="1"/>
    <col min="3585" max="3585" width="14" style="136" bestFit="1" customWidth="1"/>
    <col min="3586" max="3586" width="15.5" style="136" bestFit="1" customWidth="1"/>
    <col min="3587" max="3587" width="9.83203125" style="136" bestFit="1" customWidth="1"/>
    <col min="3588" max="3588" width="8.83203125" style="136" bestFit="1" customWidth="1"/>
    <col min="3589" max="3589" width="11.5" style="136" bestFit="1" customWidth="1"/>
    <col min="3590" max="3590" width="10.5" style="136" bestFit="1" customWidth="1"/>
    <col min="3591" max="3591" width="11.5" style="136" bestFit="1" customWidth="1"/>
    <col min="3592" max="3592" width="12.5" style="136" bestFit="1" customWidth="1"/>
    <col min="3593" max="3593" width="9.08203125" style="136" bestFit="1" customWidth="1"/>
    <col min="3594" max="3594" width="12.5" style="136" bestFit="1" customWidth="1"/>
    <col min="3595" max="3595" width="16.5" style="136" bestFit="1" customWidth="1"/>
    <col min="3596" max="3596" width="13.83203125" style="136" bestFit="1" customWidth="1"/>
    <col min="3597" max="3597" width="8.58203125" style="136" bestFit="1" customWidth="1"/>
    <col min="3598" max="3598" width="6.58203125" style="136" bestFit="1" customWidth="1"/>
    <col min="3599" max="3599" width="9.08203125" style="136" customWidth="1"/>
    <col min="3600" max="3600" width="6.08203125" style="136" bestFit="1" customWidth="1"/>
    <col min="3601" max="3601" width="9.33203125" style="136" bestFit="1" customWidth="1"/>
    <col min="3602" max="3602" width="10.5" style="136" bestFit="1" customWidth="1"/>
    <col min="3603" max="3835" width="9" style="136"/>
    <col min="3836" max="3836" width="6.08203125" style="136" bestFit="1" customWidth="1"/>
    <col min="3837" max="3837" width="14.33203125" style="136" bestFit="1" customWidth="1"/>
    <col min="3838" max="3838" width="21.83203125" style="136" bestFit="1" customWidth="1"/>
    <col min="3839" max="3839" width="0" style="136" hidden="1" customWidth="1"/>
    <col min="3840" max="3840" width="16.5" style="136" bestFit="1" customWidth="1"/>
    <col min="3841" max="3841" width="14" style="136" bestFit="1" customWidth="1"/>
    <col min="3842" max="3842" width="15.5" style="136" bestFit="1" customWidth="1"/>
    <col min="3843" max="3843" width="9.83203125" style="136" bestFit="1" customWidth="1"/>
    <col min="3844" max="3844" width="8.83203125" style="136" bestFit="1" customWidth="1"/>
    <col min="3845" max="3845" width="11.5" style="136" bestFit="1" customWidth="1"/>
    <col min="3846" max="3846" width="10.5" style="136" bestFit="1" customWidth="1"/>
    <col min="3847" max="3847" width="11.5" style="136" bestFit="1" customWidth="1"/>
    <col min="3848" max="3848" width="12.5" style="136" bestFit="1" customWidth="1"/>
    <col min="3849" max="3849" width="9.08203125" style="136" bestFit="1" customWidth="1"/>
    <col min="3850" max="3850" width="12.5" style="136" bestFit="1" customWidth="1"/>
    <col min="3851" max="3851" width="16.5" style="136" bestFit="1" customWidth="1"/>
    <col min="3852" max="3852" width="13.83203125" style="136" bestFit="1" customWidth="1"/>
    <col min="3853" max="3853" width="8.58203125" style="136" bestFit="1" customWidth="1"/>
    <col min="3854" max="3854" width="6.58203125" style="136" bestFit="1" customWidth="1"/>
    <col min="3855" max="3855" width="9.08203125" style="136" customWidth="1"/>
    <col min="3856" max="3856" width="6.08203125" style="136" bestFit="1" customWidth="1"/>
    <col min="3857" max="3857" width="9.33203125" style="136" bestFit="1" customWidth="1"/>
    <col min="3858" max="3858" width="10.5" style="136" bestFit="1" customWidth="1"/>
    <col min="3859" max="4091" width="9" style="136"/>
    <col min="4092" max="4092" width="6.08203125" style="136" bestFit="1" customWidth="1"/>
    <col min="4093" max="4093" width="14.33203125" style="136" bestFit="1" customWidth="1"/>
    <col min="4094" max="4094" width="21.83203125" style="136" bestFit="1" customWidth="1"/>
    <col min="4095" max="4095" width="0" style="136" hidden="1" customWidth="1"/>
    <col min="4096" max="4096" width="16.5" style="136" bestFit="1" customWidth="1"/>
    <col min="4097" max="4097" width="14" style="136" bestFit="1" customWidth="1"/>
    <col min="4098" max="4098" width="15.5" style="136" bestFit="1" customWidth="1"/>
    <col min="4099" max="4099" width="9.83203125" style="136" bestFit="1" customWidth="1"/>
    <col min="4100" max="4100" width="8.83203125" style="136" bestFit="1" customWidth="1"/>
    <col min="4101" max="4101" width="11.5" style="136" bestFit="1" customWidth="1"/>
    <col min="4102" max="4102" width="10.5" style="136" bestFit="1" customWidth="1"/>
    <col min="4103" max="4103" width="11.5" style="136" bestFit="1" customWidth="1"/>
    <col min="4104" max="4104" width="12.5" style="136" bestFit="1" customWidth="1"/>
    <col min="4105" max="4105" width="9.08203125" style="136" bestFit="1" customWidth="1"/>
    <col min="4106" max="4106" width="12.5" style="136" bestFit="1" customWidth="1"/>
    <col min="4107" max="4107" width="16.5" style="136" bestFit="1" customWidth="1"/>
    <col min="4108" max="4108" width="13.83203125" style="136" bestFit="1" customWidth="1"/>
    <col min="4109" max="4109" width="8.58203125" style="136" bestFit="1" customWidth="1"/>
    <col min="4110" max="4110" width="6.58203125" style="136" bestFit="1" customWidth="1"/>
    <col min="4111" max="4111" width="9.08203125" style="136" customWidth="1"/>
    <col min="4112" max="4112" width="6.08203125" style="136" bestFit="1" customWidth="1"/>
    <col min="4113" max="4113" width="9.33203125" style="136" bestFit="1" customWidth="1"/>
    <col min="4114" max="4114" width="10.5" style="136" bestFit="1" customWidth="1"/>
    <col min="4115" max="4347" width="9" style="136"/>
    <col min="4348" max="4348" width="6.08203125" style="136" bestFit="1" customWidth="1"/>
    <col min="4349" max="4349" width="14.33203125" style="136" bestFit="1" customWidth="1"/>
    <col min="4350" max="4350" width="21.83203125" style="136" bestFit="1" customWidth="1"/>
    <col min="4351" max="4351" width="0" style="136" hidden="1" customWidth="1"/>
    <col min="4352" max="4352" width="16.5" style="136" bestFit="1" customWidth="1"/>
    <col min="4353" max="4353" width="14" style="136" bestFit="1" customWidth="1"/>
    <col min="4354" max="4354" width="15.5" style="136" bestFit="1" customWidth="1"/>
    <col min="4355" max="4355" width="9.83203125" style="136" bestFit="1" customWidth="1"/>
    <col min="4356" max="4356" width="8.83203125" style="136" bestFit="1" customWidth="1"/>
    <col min="4357" max="4357" width="11.5" style="136" bestFit="1" customWidth="1"/>
    <col min="4358" max="4358" width="10.5" style="136" bestFit="1" customWidth="1"/>
    <col min="4359" max="4359" width="11.5" style="136" bestFit="1" customWidth="1"/>
    <col min="4360" max="4360" width="12.5" style="136" bestFit="1" customWidth="1"/>
    <col min="4361" max="4361" width="9.08203125" style="136" bestFit="1" customWidth="1"/>
    <col min="4362" max="4362" width="12.5" style="136" bestFit="1" customWidth="1"/>
    <col min="4363" max="4363" width="16.5" style="136" bestFit="1" customWidth="1"/>
    <col min="4364" max="4364" width="13.83203125" style="136" bestFit="1" customWidth="1"/>
    <col min="4365" max="4365" width="8.58203125" style="136" bestFit="1" customWidth="1"/>
    <col min="4366" max="4366" width="6.58203125" style="136" bestFit="1" customWidth="1"/>
    <col min="4367" max="4367" width="9.08203125" style="136" customWidth="1"/>
    <col min="4368" max="4368" width="6.08203125" style="136" bestFit="1" customWidth="1"/>
    <col min="4369" max="4369" width="9.33203125" style="136" bestFit="1" customWidth="1"/>
    <col min="4370" max="4370" width="10.5" style="136" bestFit="1" customWidth="1"/>
    <col min="4371" max="4603" width="9" style="136"/>
    <col min="4604" max="4604" width="6.08203125" style="136" bestFit="1" customWidth="1"/>
    <col min="4605" max="4605" width="14.33203125" style="136" bestFit="1" customWidth="1"/>
    <col min="4606" max="4606" width="21.83203125" style="136" bestFit="1" customWidth="1"/>
    <col min="4607" max="4607" width="0" style="136" hidden="1" customWidth="1"/>
    <col min="4608" max="4608" width="16.5" style="136" bestFit="1" customWidth="1"/>
    <col min="4609" max="4609" width="14" style="136" bestFit="1" customWidth="1"/>
    <col min="4610" max="4610" width="15.5" style="136" bestFit="1" customWidth="1"/>
    <col min="4611" max="4611" width="9.83203125" style="136" bestFit="1" customWidth="1"/>
    <col min="4612" max="4612" width="8.83203125" style="136" bestFit="1" customWidth="1"/>
    <col min="4613" max="4613" width="11.5" style="136" bestFit="1" customWidth="1"/>
    <col min="4614" max="4614" width="10.5" style="136" bestFit="1" customWidth="1"/>
    <col min="4615" max="4615" width="11.5" style="136" bestFit="1" customWidth="1"/>
    <col min="4616" max="4616" width="12.5" style="136" bestFit="1" customWidth="1"/>
    <col min="4617" max="4617" width="9.08203125" style="136" bestFit="1" customWidth="1"/>
    <col min="4618" max="4618" width="12.5" style="136" bestFit="1" customWidth="1"/>
    <col min="4619" max="4619" width="16.5" style="136" bestFit="1" customWidth="1"/>
    <col min="4620" max="4620" width="13.83203125" style="136" bestFit="1" customWidth="1"/>
    <col min="4621" max="4621" width="8.58203125" style="136" bestFit="1" customWidth="1"/>
    <col min="4622" max="4622" width="6.58203125" style="136" bestFit="1" customWidth="1"/>
    <col min="4623" max="4623" width="9.08203125" style="136" customWidth="1"/>
    <col min="4624" max="4624" width="6.08203125" style="136" bestFit="1" customWidth="1"/>
    <col min="4625" max="4625" width="9.33203125" style="136" bestFit="1" customWidth="1"/>
    <col min="4626" max="4626" width="10.5" style="136" bestFit="1" customWidth="1"/>
    <col min="4627" max="4859" width="9" style="136"/>
    <col min="4860" max="4860" width="6.08203125" style="136" bestFit="1" customWidth="1"/>
    <col min="4861" max="4861" width="14.33203125" style="136" bestFit="1" customWidth="1"/>
    <col min="4862" max="4862" width="21.83203125" style="136" bestFit="1" customWidth="1"/>
    <col min="4863" max="4863" width="0" style="136" hidden="1" customWidth="1"/>
    <col min="4864" max="4864" width="16.5" style="136" bestFit="1" customWidth="1"/>
    <col min="4865" max="4865" width="14" style="136" bestFit="1" customWidth="1"/>
    <col min="4866" max="4866" width="15.5" style="136" bestFit="1" customWidth="1"/>
    <col min="4867" max="4867" width="9.83203125" style="136" bestFit="1" customWidth="1"/>
    <col min="4868" max="4868" width="8.83203125" style="136" bestFit="1" customWidth="1"/>
    <col min="4869" max="4869" width="11.5" style="136" bestFit="1" customWidth="1"/>
    <col min="4870" max="4870" width="10.5" style="136" bestFit="1" customWidth="1"/>
    <col min="4871" max="4871" width="11.5" style="136" bestFit="1" customWidth="1"/>
    <col min="4872" max="4872" width="12.5" style="136" bestFit="1" customWidth="1"/>
    <col min="4873" max="4873" width="9.08203125" style="136" bestFit="1" customWidth="1"/>
    <col min="4874" max="4874" width="12.5" style="136" bestFit="1" customWidth="1"/>
    <col min="4875" max="4875" width="16.5" style="136" bestFit="1" customWidth="1"/>
    <col min="4876" max="4876" width="13.83203125" style="136" bestFit="1" customWidth="1"/>
    <col min="4877" max="4877" width="8.58203125" style="136" bestFit="1" customWidth="1"/>
    <col min="4878" max="4878" width="6.58203125" style="136" bestFit="1" customWidth="1"/>
    <col min="4879" max="4879" width="9.08203125" style="136" customWidth="1"/>
    <col min="4880" max="4880" width="6.08203125" style="136" bestFit="1" customWidth="1"/>
    <col min="4881" max="4881" width="9.33203125" style="136" bestFit="1" customWidth="1"/>
    <col min="4882" max="4882" width="10.5" style="136" bestFit="1" customWidth="1"/>
    <col min="4883" max="5115" width="9" style="136"/>
    <col min="5116" max="5116" width="6.08203125" style="136" bestFit="1" customWidth="1"/>
    <col min="5117" max="5117" width="14.33203125" style="136" bestFit="1" customWidth="1"/>
    <col min="5118" max="5118" width="21.83203125" style="136" bestFit="1" customWidth="1"/>
    <col min="5119" max="5119" width="0" style="136" hidden="1" customWidth="1"/>
    <col min="5120" max="5120" width="16.5" style="136" bestFit="1" customWidth="1"/>
    <col min="5121" max="5121" width="14" style="136" bestFit="1" customWidth="1"/>
    <col min="5122" max="5122" width="15.5" style="136" bestFit="1" customWidth="1"/>
    <col min="5123" max="5123" width="9.83203125" style="136" bestFit="1" customWidth="1"/>
    <col min="5124" max="5124" width="8.83203125" style="136" bestFit="1" customWidth="1"/>
    <col min="5125" max="5125" width="11.5" style="136" bestFit="1" customWidth="1"/>
    <col min="5126" max="5126" width="10.5" style="136" bestFit="1" customWidth="1"/>
    <col min="5127" max="5127" width="11.5" style="136" bestFit="1" customWidth="1"/>
    <col min="5128" max="5128" width="12.5" style="136" bestFit="1" customWidth="1"/>
    <col min="5129" max="5129" width="9.08203125" style="136" bestFit="1" customWidth="1"/>
    <col min="5130" max="5130" width="12.5" style="136" bestFit="1" customWidth="1"/>
    <col min="5131" max="5131" width="16.5" style="136" bestFit="1" customWidth="1"/>
    <col min="5132" max="5132" width="13.83203125" style="136" bestFit="1" customWidth="1"/>
    <col min="5133" max="5133" width="8.58203125" style="136" bestFit="1" customWidth="1"/>
    <col min="5134" max="5134" width="6.58203125" style="136" bestFit="1" customWidth="1"/>
    <col min="5135" max="5135" width="9.08203125" style="136" customWidth="1"/>
    <col min="5136" max="5136" width="6.08203125" style="136" bestFit="1" customWidth="1"/>
    <col min="5137" max="5137" width="9.33203125" style="136" bestFit="1" customWidth="1"/>
    <col min="5138" max="5138" width="10.5" style="136" bestFit="1" customWidth="1"/>
    <col min="5139" max="5371" width="9" style="136"/>
    <col min="5372" max="5372" width="6.08203125" style="136" bestFit="1" customWidth="1"/>
    <col min="5373" max="5373" width="14.33203125" style="136" bestFit="1" customWidth="1"/>
    <col min="5374" max="5374" width="21.83203125" style="136" bestFit="1" customWidth="1"/>
    <col min="5375" max="5375" width="0" style="136" hidden="1" customWidth="1"/>
    <col min="5376" max="5376" width="16.5" style="136" bestFit="1" customWidth="1"/>
    <col min="5377" max="5377" width="14" style="136" bestFit="1" customWidth="1"/>
    <col min="5378" max="5378" width="15.5" style="136" bestFit="1" customWidth="1"/>
    <col min="5379" max="5379" width="9.83203125" style="136" bestFit="1" customWidth="1"/>
    <col min="5380" max="5380" width="8.83203125" style="136" bestFit="1" customWidth="1"/>
    <col min="5381" max="5381" width="11.5" style="136" bestFit="1" customWidth="1"/>
    <col min="5382" max="5382" width="10.5" style="136" bestFit="1" customWidth="1"/>
    <col min="5383" max="5383" width="11.5" style="136" bestFit="1" customWidth="1"/>
    <col min="5384" max="5384" width="12.5" style="136" bestFit="1" customWidth="1"/>
    <col min="5385" max="5385" width="9.08203125" style="136" bestFit="1" customWidth="1"/>
    <col min="5386" max="5386" width="12.5" style="136" bestFit="1" customWidth="1"/>
    <col min="5387" max="5387" width="16.5" style="136" bestFit="1" customWidth="1"/>
    <col min="5388" max="5388" width="13.83203125" style="136" bestFit="1" customWidth="1"/>
    <col min="5389" max="5389" width="8.58203125" style="136" bestFit="1" customWidth="1"/>
    <col min="5390" max="5390" width="6.58203125" style="136" bestFit="1" customWidth="1"/>
    <col min="5391" max="5391" width="9.08203125" style="136" customWidth="1"/>
    <col min="5392" max="5392" width="6.08203125" style="136" bestFit="1" customWidth="1"/>
    <col min="5393" max="5393" width="9.33203125" style="136" bestFit="1" customWidth="1"/>
    <col min="5394" max="5394" width="10.5" style="136" bestFit="1" customWidth="1"/>
    <col min="5395" max="5627" width="9" style="136"/>
    <col min="5628" max="5628" width="6.08203125" style="136" bestFit="1" customWidth="1"/>
    <col min="5629" max="5629" width="14.33203125" style="136" bestFit="1" customWidth="1"/>
    <col min="5630" max="5630" width="21.83203125" style="136" bestFit="1" customWidth="1"/>
    <col min="5631" max="5631" width="0" style="136" hidden="1" customWidth="1"/>
    <col min="5632" max="5632" width="16.5" style="136" bestFit="1" customWidth="1"/>
    <col min="5633" max="5633" width="14" style="136" bestFit="1" customWidth="1"/>
    <col min="5634" max="5634" width="15.5" style="136" bestFit="1" customWidth="1"/>
    <col min="5635" max="5635" width="9.83203125" style="136" bestFit="1" customWidth="1"/>
    <col min="5636" max="5636" width="8.83203125" style="136" bestFit="1" customWidth="1"/>
    <col min="5637" max="5637" width="11.5" style="136" bestFit="1" customWidth="1"/>
    <col min="5638" max="5638" width="10.5" style="136" bestFit="1" customWidth="1"/>
    <col min="5639" max="5639" width="11.5" style="136" bestFit="1" customWidth="1"/>
    <col min="5640" max="5640" width="12.5" style="136" bestFit="1" customWidth="1"/>
    <col min="5641" max="5641" width="9.08203125" style="136" bestFit="1" customWidth="1"/>
    <col min="5642" max="5642" width="12.5" style="136" bestFit="1" customWidth="1"/>
    <col min="5643" max="5643" width="16.5" style="136" bestFit="1" customWidth="1"/>
    <col min="5644" max="5644" width="13.83203125" style="136" bestFit="1" customWidth="1"/>
    <col min="5645" max="5645" width="8.58203125" style="136" bestFit="1" customWidth="1"/>
    <col min="5646" max="5646" width="6.58203125" style="136" bestFit="1" customWidth="1"/>
    <col min="5647" max="5647" width="9.08203125" style="136" customWidth="1"/>
    <col min="5648" max="5648" width="6.08203125" style="136" bestFit="1" customWidth="1"/>
    <col min="5649" max="5649" width="9.33203125" style="136" bestFit="1" customWidth="1"/>
    <col min="5650" max="5650" width="10.5" style="136" bestFit="1" customWidth="1"/>
    <col min="5651" max="5883" width="9" style="136"/>
    <col min="5884" max="5884" width="6.08203125" style="136" bestFit="1" customWidth="1"/>
    <col min="5885" max="5885" width="14.33203125" style="136" bestFit="1" customWidth="1"/>
    <col min="5886" max="5886" width="21.83203125" style="136" bestFit="1" customWidth="1"/>
    <col min="5887" max="5887" width="0" style="136" hidden="1" customWidth="1"/>
    <col min="5888" max="5888" width="16.5" style="136" bestFit="1" customWidth="1"/>
    <col min="5889" max="5889" width="14" style="136" bestFit="1" customWidth="1"/>
    <col min="5890" max="5890" width="15.5" style="136" bestFit="1" customWidth="1"/>
    <col min="5891" max="5891" width="9.83203125" style="136" bestFit="1" customWidth="1"/>
    <col min="5892" max="5892" width="8.83203125" style="136" bestFit="1" customWidth="1"/>
    <col min="5893" max="5893" width="11.5" style="136" bestFit="1" customWidth="1"/>
    <col min="5894" max="5894" width="10.5" style="136" bestFit="1" customWidth="1"/>
    <col min="5895" max="5895" width="11.5" style="136" bestFit="1" customWidth="1"/>
    <col min="5896" max="5896" width="12.5" style="136" bestFit="1" customWidth="1"/>
    <col min="5897" max="5897" width="9.08203125" style="136" bestFit="1" customWidth="1"/>
    <col min="5898" max="5898" width="12.5" style="136" bestFit="1" customWidth="1"/>
    <col min="5899" max="5899" width="16.5" style="136" bestFit="1" customWidth="1"/>
    <col min="5900" max="5900" width="13.83203125" style="136" bestFit="1" customWidth="1"/>
    <col min="5901" max="5901" width="8.58203125" style="136" bestFit="1" customWidth="1"/>
    <col min="5902" max="5902" width="6.58203125" style="136" bestFit="1" customWidth="1"/>
    <col min="5903" max="5903" width="9.08203125" style="136" customWidth="1"/>
    <col min="5904" max="5904" width="6.08203125" style="136" bestFit="1" customWidth="1"/>
    <col min="5905" max="5905" width="9.33203125" style="136" bestFit="1" customWidth="1"/>
    <col min="5906" max="5906" width="10.5" style="136" bestFit="1" customWidth="1"/>
    <col min="5907" max="6139" width="9" style="136"/>
    <col min="6140" max="6140" width="6.08203125" style="136" bestFit="1" customWidth="1"/>
    <col min="6141" max="6141" width="14.33203125" style="136" bestFit="1" customWidth="1"/>
    <col min="6142" max="6142" width="21.83203125" style="136" bestFit="1" customWidth="1"/>
    <col min="6143" max="6143" width="0" style="136" hidden="1" customWidth="1"/>
    <col min="6144" max="6144" width="16.5" style="136" bestFit="1" customWidth="1"/>
    <col min="6145" max="6145" width="14" style="136" bestFit="1" customWidth="1"/>
    <col min="6146" max="6146" width="15.5" style="136" bestFit="1" customWidth="1"/>
    <col min="6147" max="6147" width="9.83203125" style="136" bestFit="1" customWidth="1"/>
    <col min="6148" max="6148" width="8.83203125" style="136" bestFit="1" customWidth="1"/>
    <col min="6149" max="6149" width="11.5" style="136" bestFit="1" customWidth="1"/>
    <col min="6150" max="6150" width="10.5" style="136" bestFit="1" customWidth="1"/>
    <col min="6151" max="6151" width="11.5" style="136" bestFit="1" customWidth="1"/>
    <col min="6152" max="6152" width="12.5" style="136" bestFit="1" customWidth="1"/>
    <col min="6153" max="6153" width="9.08203125" style="136" bestFit="1" customWidth="1"/>
    <col min="6154" max="6154" width="12.5" style="136" bestFit="1" customWidth="1"/>
    <col min="6155" max="6155" width="16.5" style="136" bestFit="1" customWidth="1"/>
    <col min="6156" max="6156" width="13.83203125" style="136" bestFit="1" customWidth="1"/>
    <col min="6157" max="6157" width="8.58203125" style="136" bestFit="1" customWidth="1"/>
    <col min="6158" max="6158" width="6.58203125" style="136" bestFit="1" customWidth="1"/>
    <col min="6159" max="6159" width="9.08203125" style="136" customWidth="1"/>
    <col min="6160" max="6160" width="6.08203125" style="136" bestFit="1" customWidth="1"/>
    <col min="6161" max="6161" width="9.33203125" style="136" bestFit="1" customWidth="1"/>
    <col min="6162" max="6162" width="10.5" style="136" bestFit="1" customWidth="1"/>
    <col min="6163" max="6395" width="9" style="136"/>
    <col min="6396" max="6396" width="6.08203125" style="136" bestFit="1" customWidth="1"/>
    <col min="6397" max="6397" width="14.33203125" style="136" bestFit="1" customWidth="1"/>
    <col min="6398" max="6398" width="21.83203125" style="136" bestFit="1" customWidth="1"/>
    <col min="6399" max="6399" width="0" style="136" hidden="1" customWidth="1"/>
    <col min="6400" max="6400" width="16.5" style="136" bestFit="1" customWidth="1"/>
    <col min="6401" max="6401" width="14" style="136" bestFit="1" customWidth="1"/>
    <col min="6402" max="6402" width="15.5" style="136" bestFit="1" customWidth="1"/>
    <col min="6403" max="6403" width="9.83203125" style="136" bestFit="1" customWidth="1"/>
    <col min="6404" max="6404" width="8.83203125" style="136" bestFit="1" customWidth="1"/>
    <col min="6405" max="6405" width="11.5" style="136" bestFit="1" customWidth="1"/>
    <col min="6406" max="6406" width="10.5" style="136" bestFit="1" customWidth="1"/>
    <col min="6407" max="6407" width="11.5" style="136" bestFit="1" customWidth="1"/>
    <col min="6408" max="6408" width="12.5" style="136" bestFit="1" customWidth="1"/>
    <col min="6409" max="6409" width="9.08203125" style="136" bestFit="1" customWidth="1"/>
    <col min="6410" max="6410" width="12.5" style="136" bestFit="1" customWidth="1"/>
    <col min="6411" max="6411" width="16.5" style="136" bestFit="1" customWidth="1"/>
    <col min="6412" max="6412" width="13.83203125" style="136" bestFit="1" customWidth="1"/>
    <col min="6413" max="6413" width="8.58203125" style="136" bestFit="1" customWidth="1"/>
    <col min="6414" max="6414" width="6.58203125" style="136" bestFit="1" customWidth="1"/>
    <col min="6415" max="6415" width="9.08203125" style="136" customWidth="1"/>
    <col min="6416" max="6416" width="6.08203125" style="136" bestFit="1" customWidth="1"/>
    <col min="6417" max="6417" width="9.33203125" style="136" bestFit="1" customWidth="1"/>
    <col min="6418" max="6418" width="10.5" style="136" bestFit="1" customWidth="1"/>
    <col min="6419" max="6651" width="9" style="136"/>
    <col min="6652" max="6652" width="6.08203125" style="136" bestFit="1" customWidth="1"/>
    <col min="6653" max="6653" width="14.33203125" style="136" bestFit="1" customWidth="1"/>
    <col min="6654" max="6654" width="21.83203125" style="136" bestFit="1" customWidth="1"/>
    <col min="6655" max="6655" width="0" style="136" hidden="1" customWidth="1"/>
    <col min="6656" max="6656" width="16.5" style="136" bestFit="1" customWidth="1"/>
    <col min="6657" max="6657" width="14" style="136" bestFit="1" customWidth="1"/>
    <col min="6658" max="6658" width="15.5" style="136" bestFit="1" customWidth="1"/>
    <col min="6659" max="6659" width="9.83203125" style="136" bestFit="1" customWidth="1"/>
    <col min="6660" max="6660" width="8.83203125" style="136" bestFit="1" customWidth="1"/>
    <col min="6661" max="6661" width="11.5" style="136" bestFit="1" customWidth="1"/>
    <col min="6662" max="6662" width="10.5" style="136" bestFit="1" customWidth="1"/>
    <col min="6663" max="6663" width="11.5" style="136" bestFit="1" customWidth="1"/>
    <col min="6664" max="6664" width="12.5" style="136" bestFit="1" customWidth="1"/>
    <col min="6665" max="6665" width="9.08203125" style="136" bestFit="1" customWidth="1"/>
    <col min="6666" max="6666" width="12.5" style="136" bestFit="1" customWidth="1"/>
    <col min="6667" max="6667" width="16.5" style="136" bestFit="1" customWidth="1"/>
    <col min="6668" max="6668" width="13.83203125" style="136" bestFit="1" customWidth="1"/>
    <col min="6669" max="6669" width="8.58203125" style="136" bestFit="1" customWidth="1"/>
    <col min="6670" max="6670" width="6.58203125" style="136" bestFit="1" customWidth="1"/>
    <col min="6671" max="6671" width="9.08203125" style="136" customWidth="1"/>
    <col min="6672" max="6672" width="6.08203125" style="136" bestFit="1" customWidth="1"/>
    <col min="6673" max="6673" width="9.33203125" style="136" bestFit="1" customWidth="1"/>
    <col min="6674" max="6674" width="10.5" style="136" bestFit="1" customWidth="1"/>
    <col min="6675" max="6907" width="9" style="136"/>
    <col min="6908" max="6908" width="6.08203125" style="136" bestFit="1" customWidth="1"/>
    <col min="6909" max="6909" width="14.33203125" style="136" bestFit="1" customWidth="1"/>
    <col min="6910" max="6910" width="21.83203125" style="136" bestFit="1" customWidth="1"/>
    <col min="6911" max="6911" width="0" style="136" hidden="1" customWidth="1"/>
    <col min="6912" max="6912" width="16.5" style="136" bestFit="1" customWidth="1"/>
    <col min="6913" max="6913" width="14" style="136" bestFit="1" customWidth="1"/>
    <col min="6914" max="6914" width="15.5" style="136" bestFit="1" customWidth="1"/>
    <col min="6915" max="6915" width="9.83203125" style="136" bestFit="1" customWidth="1"/>
    <col min="6916" max="6916" width="8.83203125" style="136" bestFit="1" customWidth="1"/>
    <col min="6917" max="6917" width="11.5" style="136" bestFit="1" customWidth="1"/>
    <col min="6918" max="6918" width="10.5" style="136" bestFit="1" customWidth="1"/>
    <col min="6919" max="6919" width="11.5" style="136" bestFit="1" customWidth="1"/>
    <col min="6920" max="6920" width="12.5" style="136" bestFit="1" customWidth="1"/>
    <col min="6921" max="6921" width="9.08203125" style="136" bestFit="1" customWidth="1"/>
    <col min="6922" max="6922" width="12.5" style="136" bestFit="1" customWidth="1"/>
    <col min="6923" max="6923" width="16.5" style="136" bestFit="1" customWidth="1"/>
    <col min="6924" max="6924" width="13.83203125" style="136" bestFit="1" customWidth="1"/>
    <col min="6925" max="6925" width="8.58203125" style="136" bestFit="1" customWidth="1"/>
    <col min="6926" max="6926" width="6.58203125" style="136" bestFit="1" customWidth="1"/>
    <col min="6927" max="6927" width="9.08203125" style="136" customWidth="1"/>
    <col min="6928" max="6928" width="6.08203125" style="136" bestFit="1" customWidth="1"/>
    <col min="6929" max="6929" width="9.33203125" style="136" bestFit="1" customWidth="1"/>
    <col min="6930" max="6930" width="10.5" style="136" bestFit="1" customWidth="1"/>
    <col min="6931" max="7163" width="9" style="136"/>
    <col min="7164" max="7164" width="6.08203125" style="136" bestFit="1" customWidth="1"/>
    <col min="7165" max="7165" width="14.33203125" style="136" bestFit="1" customWidth="1"/>
    <col min="7166" max="7166" width="21.83203125" style="136" bestFit="1" customWidth="1"/>
    <col min="7167" max="7167" width="0" style="136" hidden="1" customWidth="1"/>
    <col min="7168" max="7168" width="16.5" style="136" bestFit="1" customWidth="1"/>
    <col min="7169" max="7169" width="14" style="136" bestFit="1" customWidth="1"/>
    <col min="7170" max="7170" width="15.5" style="136" bestFit="1" customWidth="1"/>
    <col min="7171" max="7171" width="9.83203125" style="136" bestFit="1" customWidth="1"/>
    <col min="7172" max="7172" width="8.83203125" style="136" bestFit="1" customWidth="1"/>
    <col min="7173" max="7173" width="11.5" style="136" bestFit="1" customWidth="1"/>
    <col min="7174" max="7174" width="10.5" style="136" bestFit="1" customWidth="1"/>
    <col min="7175" max="7175" width="11.5" style="136" bestFit="1" customWidth="1"/>
    <col min="7176" max="7176" width="12.5" style="136" bestFit="1" customWidth="1"/>
    <col min="7177" max="7177" width="9.08203125" style="136" bestFit="1" customWidth="1"/>
    <col min="7178" max="7178" width="12.5" style="136" bestFit="1" customWidth="1"/>
    <col min="7179" max="7179" width="16.5" style="136" bestFit="1" customWidth="1"/>
    <col min="7180" max="7180" width="13.83203125" style="136" bestFit="1" customWidth="1"/>
    <col min="7181" max="7181" width="8.58203125" style="136" bestFit="1" customWidth="1"/>
    <col min="7182" max="7182" width="6.58203125" style="136" bestFit="1" customWidth="1"/>
    <col min="7183" max="7183" width="9.08203125" style="136" customWidth="1"/>
    <col min="7184" max="7184" width="6.08203125" style="136" bestFit="1" customWidth="1"/>
    <col min="7185" max="7185" width="9.33203125" style="136" bestFit="1" customWidth="1"/>
    <col min="7186" max="7186" width="10.5" style="136" bestFit="1" customWidth="1"/>
    <col min="7187" max="7419" width="9" style="136"/>
    <col min="7420" max="7420" width="6.08203125" style="136" bestFit="1" customWidth="1"/>
    <col min="7421" max="7421" width="14.33203125" style="136" bestFit="1" customWidth="1"/>
    <col min="7422" max="7422" width="21.83203125" style="136" bestFit="1" customWidth="1"/>
    <col min="7423" max="7423" width="0" style="136" hidden="1" customWidth="1"/>
    <col min="7424" max="7424" width="16.5" style="136" bestFit="1" customWidth="1"/>
    <col min="7425" max="7425" width="14" style="136" bestFit="1" customWidth="1"/>
    <col min="7426" max="7426" width="15.5" style="136" bestFit="1" customWidth="1"/>
    <col min="7427" max="7427" width="9.83203125" style="136" bestFit="1" customWidth="1"/>
    <col min="7428" max="7428" width="8.83203125" style="136" bestFit="1" customWidth="1"/>
    <col min="7429" max="7429" width="11.5" style="136" bestFit="1" customWidth="1"/>
    <col min="7430" max="7430" width="10.5" style="136" bestFit="1" customWidth="1"/>
    <col min="7431" max="7431" width="11.5" style="136" bestFit="1" customWidth="1"/>
    <col min="7432" max="7432" width="12.5" style="136" bestFit="1" customWidth="1"/>
    <col min="7433" max="7433" width="9.08203125" style="136" bestFit="1" customWidth="1"/>
    <col min="7434" max="7434" width="12.5" style="136" bestFit="1" customWidth="1"/>
    <col min="7435" max="7435" width="16.5" style="136" bestFit="1" customWidth="1"/>
    <col min="7436" max="7436" width="13.83203125" style="136" bestFit="1" customWidth="1"/>
    <col min="7437" max="7437" width="8.58203125" style="136" bestFit="1" customWidth="1"/>
    <col min="7438" max="7438" width="6.58203125" style="136" bestFit="1" customWidth="1"/>
    <col min="7439" max="7439" width="9.08203125" style="136" customWidth="1"/>
    <col min="7440" max="7440" width="6.08203125" style="136" bestFit="1" customWidth="1"/>
    <col min="7441" max="7441" width="9.33203125" style="136" bestFit="1" customWidth="1"/>
    <col min="7442" max="7442" width="10.5" style="136" bestFit="1" customWidth="1"/>
    <col min="7443" max="7675" width="9" style="136"/>
    <col min="7676" max="7676" width="6.08203125" style="136" bestFit="1" customWidth="1"/>
    <col min="7677" max="7677" width="14.33203125" style="136" bestFit="1" customWidth="1"/>
    <col min="7678" max="7678" width="21.83203125" style="136" bestFit="1" customWidth="1"/>
    <col min="7679" max="7679" width="0" style="136" hidden="1" customWidth="1"/>
    <col min="7680" max="7680" width="16.5" style="136" bestFit="1" customWidth="1"/>
    <col min="7681" max="7681" width="14" style="136" bestFit="1" customWidth="1"/>
    <col min="7682" max="7682" width="15.5" style="136" bestFit="1" customWidth="1"/>
    <col min="7683" max="7683" width="9.83203125" style="136" bestFit="1" customWidth="1"/>
    <col min="7684" max="7684" width="8.83203125" style="136" bestFit="1" customWidth="1"/>
    <col min="7685" max="7685" width="11.5" style="136" bestFit="1" customWidth="1"/>
    <col min="7686" max="7686" width="10.5" style="136" bestFit="1" customWidth="1"/>
    <col min="7687" max="7687" width="11.5" style="136" bestFit="1" customWidth="1"/>
    <col min="7688" max="7688" width="12.5" style="136" bestFit="1" customWidth="1"/>
    <col min="7689" max="7689" width="9.08203125" style="136" bestFit="1" customWidth="1"/>
    <col min="7690" max="7690" width="12.5" style="136" bestFit="1" customWidth="1"/>
    <col min="7691" max="7691" width="16.5" style="136" bestFit="1" customWidth="1"/>
    <col min="7692" max="7692" width="13.83203125" style="136" bestFit="1" customWidth="1"/>
    <col min="7693" max="7693" width="8.58203125" style="136" bestFit="1" customWidth="1"/>
    <col min="7694" max="7694" width="6.58203125" style="136" bestFit="1" customWidth="1"/>
    <col min="7695" max="7695" width="9.08203125" style="136" customWidth="1"/>
    <col min="7696" max="7696" width="6.08203125" style="136" bestFit="1" customWidth="1"/>
    <col min="7697" max="7697" width="9.33203125" style="136" bestFit="1" customWidth="1"/>
    <col min="7698" max="7698" width="10.5" style="136" bestFit="1" customWidth="1"/>
    <col min="7699" max="7931" width="9" style="136"/>
    <col min="7932" max="7932" width="6.08203125" style="136" bestFit="1" customWidth="1"/>
    <col min="7933" max="7933" width="14.33203125" style="136" bestFit="1" customWidth="1"/>
    <col min="7934" max="7934" width="21.83203125" style="136" bestFit="1" customWidth="1"/>
    <col min="7935" max="7935" width="0" style="136" hidden="1" customWidth="1"/>
    <col min="7936" max="7936" width="16.5" style="136" bestFit="1" customWidth="1"/>
    <col min="7937" max="7937" width="14" style="136" bestFit="1" customWidth="1"/>
    <col min="7938" max="7938" width="15.5" style="136" bestFit="1" customWidth="1"/>
    <col min="7939" max="7939" width="9.83203125" style="136" bestFit="1" customWidth="1"/>
    <col min="7940" max="7940" width="8.83203125" style="136" bestFit="1" customWidth="1"/>
    <col min="7941" max="7941" width="11.5" style="136" bestFit="1" customWidth="1"/>
    <col min="7942" max="7942" width="10.5" style="136" bestFit="1" customWidth="1"/>
    <col min="7943" max="7943" width="11.5" style="136" bestFit="1" customWidth="1"/>
    <col min="7944" max="7944" width="12.5" style="136" bestFit="1" customWidth="1"/>
    <col min="7945" max="7945" width="9.08203125" style="136" bestFit="1" customWidth="1"/>
    <col min="7946" max="7946" width="12.5" style="136" bestFit="1" customWidth="1"/>
    <col min="7947" max="7947" width="16.5" style="136" bestFit="1" customWidth="1"/>
    <col min="7948" max="7948" width="13.83203125" style="136" bestFit="1" customWidth="1"/>
    <col min="7949" max="7949" width="8.58203125" style="136" bestFit="1" customWidth="1"/>
    <col min="7950" max="7950" width="6.58203125" style="136" bestFit="1" customWidth="1"/>
    <col min="7951" max="7951" width="9.08203125" style="136" customWidth="1"/>
    <col min="7952" max="7952" width="6.08203125" style="136" bestFit="1" customWidth="1"/>
    <col min="7953" max="7953" width="9.33203125" style="136" bestFit="1" customWidth="1"/>
    <col min="7954" max="7954" width="10.5" style="136" bestFit="1" customWidth="1"/>
    <col min="7955" max="8187" width="9" style="136"/>
    <col min="8188" max="8188" width="6.08203125" style="136" bestFit="1" customWidth="1"/>
    <col min="8189" max="8189" width="14.33203125" style="136" bestFit="1" customWidth="1"/>
    <col min="8190" max="8190" width="21.83203125" style="136" bestFit="1" customWidth="1"/>
    <col min="8191" max="8191" width="0" style="136" hidden="1" customWidth="1"/>
    <col min="8192" max="8192" width="16.5" style="136" bestFit="1" customWidth="1"/>
    <col min="8193" max="8193" width="14" style="136" bestFit="1" customWidth="1"/>
    <col min="8194" max="8194" width="15.5" style="136" bestFit="1" customWidth="1"/>
    <col min="8195" max="8195" width="9.83203125" style="136" bestFit="1" customWidth="1"/>
    <col min="8196" max="8196" width="8.83203125" style="136" bestFit="1" customWidth="1"/>
    <col min="8197" max="8197" width="11.5" style="136" bestFit="1" customWidth="1"/>
    <col min="8198" max="8198" width="10.5" style="136" bestFit="1" customWidth="1"/>
    <col min="8199" max="8199" width="11.5" style="136" bestFit="1" customWidth="1"/>
    <col min="8200" max="8200" width="12.5" style="136" bestFit="1" customWidth="1"/>
    <col min="8201" max="8201" width="9.08203125" style="136" bestFit="1" customWidth="1"/>
    <col min="8202" max="8202" width="12.5" style="136" bestFit="1" customWidth="1"/>
    <col min="8203" max="8203" width="16.5" style="136" bestFit="1" customWidth="1"/>
    <col min="8204" max="8204" width="13.83203125" style="136" bestFit="1" customWidth="1"/>
    <col min="8205" max="8205" width="8.58203125" style="136" bestFit="1" customWidth="1"/>
    <col min="8206" max="8206" width="6.58203125" style="136" bestFit="1" customWidth="1"/>
    <col min="8207" max="8207" width="9.08203125" style="136" customWidth="1"/>
    <col min="8208" max="8208" width="6.08203125" style="136" bestFit="1" customWidth="1"/>
    <col min="8209" max="8209" width="9.33203125" style="136" bestFit="1" customWidth="1"/>
    <col min="8210" max="8210" width="10.5" style="136" bestFit="1" customWidth="1"/>
    <col min="8211" max="8443" width="9" style="136"/>
    <col min="8444" max="8444" width="6.08203125" style="136" bestFit="1" customWidth="1"/>
    <col min="8445" max="8445" width="14.33203125" style="136" bestFit="1" customWidth="1"/>
    <col min="8446" max="8446" width="21.83203125" style="136" bestFit="1" customWidth="1"/>
    <col min="8447" max="8447" width="0" style="136" hidden="1" customWidth="1"/>
    <col min="8448" max="8448" width="16.5" style="136" bestFit="1" customWidth="1"/>
    <col min="8449" max="8449" width="14" style="136" bestFit="1" customWidth="1"/>
    <col min="8450" max="8450" width="15.5" style="136" bestFit="1" customWidth="1"/>
    <col min="8451" max="8451" width="9.83203125" style="136" bestFit="1" customWidth="1"/>
    <col min="8452" max="8452" width="8.83203125" style="136" bestFit="1" customWidth="1"/>
    <col min="8453" max="8453" width="11.5" style="136" bestFit="1" customWidth="1"/>
    <col min="8454" max="8454" width="10.5" style="136" bestFit="1" customWidth="1"/>
    <col min="8455" max="8455" width="11.5" style="136" bestFit="1" customWidth="1"/>
    <col min="8456" max="8456" width="12.5" style="136" bestFit="1" customWidth="1"/>
    <col min="8457" max="8457" width="9.08203125" style="136" bestFit="1" customWidth="1"/>
    <col min="8458" max="8458" width="12.5" style="136" bestFit="1" customWidth="1"/>
    <col min="8459" max="8459" width="16.5" style="136" bestFit="1" customWidth="1"/>
    <col min="8460" max="8460" width="13.83203125" style="136" bestFit="1" customWidth="1"/>
    <col min="8461" max="8461" width="8.58203125" style="136" bestFit="1" customWidth="1"/>
    <col min="8462" max="8462" width="6.58203125" style="136" bestFit="1" customWidth="1"/>
    <col min="8463" max="8463" width="9.08203125" style="136" customWidth="1"/>
    <col min="8464" max="8464" width="6.08203125" style="136" bestFit="1" customWidth="1"/>
    <col min="8465" max="8465" width="9.33203125" style="136" bestFit="1" customWidth="1"/>
    <col min="8466" max="8466" width="10.5" style="136" bestFit="1" customWidth="1"/>
    <col min="8467" max="8699" width="9" style="136"/>
    <col min="8700" max="8700" width="6.08203125" style="136" bestFit="1" customWidth="1"/>
    <col min="8701" max="8701" width="14.33203125" style="136" bestFit="1" customWidth="1"/>
    <col min="8702" max="8702" width="21.83203125" style="136" bestFit="1" customWidth="1"/>
    <col min="8703" max="8703" width="0" style="136" hidden="1" customWidth="1"/>
    <col min="8704" max="8704" width="16.5" style="136" bestFit="1" customWidth="1"/>
    <col min="8705" max="8705" width="14" style="136" bestFit="1" customWidth="1"/>
    <col min="8706" max="8706" width="15.5" style="136" bestFit="1" customWidth="1"/>
    <col min="8707" max="8707" width="9.83203125" style="136" bestFit="1" customWidth="1"/>
    <col min="8708" max="8708" width="8.83203125" style="136" bestFit="1" customWidth="1"/>
    <col min="8709" max="8709" width="11.5" style="136" bestFit="1" customWidth="1"/>
    <col min="8710" max="8710" width="10.5" style="136" bestFit="1" customWidth="1"/>
    <col min="8711" max="8711" width="11.5" style="136" bestFit="1" customWidth="1"/>
    <col min="8712" max="8712" width="12.5" style="136" bestFit="1" customWidth="1"/>
    <col min="8713" max="8713" width="9.08203125" style="136" bestFit="1" customWidth="1"/>
    <col min="8714" max="8714" width="12.5" style="136" bestFit="1" customWidth="1"/>
    <col min="8715" max="8715" width="16.5" style="136" bestFit="1" customWidth="1"/>
    <col min="8716" max="8716" width="13.83203125" style="136" bestFit="1" customWidth="1"/>
    <col min="8717" max="8717" width="8.58203125" style="136" bestFit="1" customWidth="1"/>
    <col min="8718" max="8718" width="6.58203125" style="136" bestFit="1" customWidth="1"/>
    <col min="8719" max="8719" width="9.08203125" style="136" customWidth="1"/>
    <col min="8720" max="8720" width="6.08203125" style="136" bestFit="1" customWidth="1"/>
    <col min="8721" max="8721" width="9.33203125" style="136" bestFit="1" customWidth="1"/>
    <col min="8722" max="8722" width="10.5" style="136" bestFit="1" customWidth="1"/>
    <col min="8723" max="8955" width="9" style="136"/>
    <col min="8956" max="8956" width="6.08203125" style="136" bestFit="1" customWidth="1"/>
    <col min="8957" max="8957" width="14.33203125" style="136" bestFit="1" customWidth="1"/>
    <col min="8958" max="8958" width="21.83203125" style="136" bestFit="1" customWidth="1"/>
    <col min="8959" max="8959" width="0" style="136" hidden="1" customWidth="1"/>
    <col min="8960" max="8960" width="16.5" style="136" bestFit="1" customWidth="1"/>
    <col min="8961" max="8961" width="14" style="136" bestFit="1" customWidth="1"/>
    <col min="8962" max="8962" width="15.5" style="136" bestFit="1" customWidth="1"/>
    <col min="8963" max="8963" width="9.83203125" style="136" bestFit="1" customWidth="1"/>
    <col min="8964" max="8964" width="8.83203125" style="136" bestFit="1" customWidth="1"/>
    <col min="8965" max="8965" width="11.5" style="136" bestFit="1" customWidth="1"/>
    <col min="8966" max="8966" width="10.5" style="136" bestFit="1" customWidth="1"/>
    <col min="8967" max="8967" width="11.5" style="136" bestFit="1" customWidth="1"/>
    <col min="8968" max="8968" width="12.5" style="136" bestFit="1" customWidth="1"/>
    <col min="8969" max="8969" width="9.08203125" style="136" bestFit="1" customWidth="1"/>
    <col min="8970" max="8970" width="12.5" style="136" bestFit="1" customWidth="1"/>
    <col min="8971" max="8971" width="16.5" style="136" bestFit="1" customWidth="1"/>
    <col min="8972" max="8972" width="13.83203125" style="136" bestFit="1" customWidth="1"/>
    <col min="8973" max="8973" width="8.58203125" style="136" bestFit="1" customWidth="1"/>
    <col min="8974" max="8974" width="6.58203125" style="136" bestFit="1" customWidth="1"/>
    <col min="8975" max="8975" width="9.08203125" style="136" customWidth="1"/>
    <col min="8976" max="8976" width="6.08203125" style="136" bestFit="1" customWidth="1"/>
    <col min="8977" max="8977" width="9.33203125" style="136" bestFit="1" customWidth="1"/>
    <col min="8978" max="8978" width="10.5" style="136" bestFit="1" customWidth="1"/>
    <col min="8979" max="9211" width="9" style="136"/>
    <col min="9212" max="9212" width="6.08203125" style="136" bestFit="1" customWidth="1"/>
    <col min="9213" max="9213" width="14.33203125" style="136" bestFit="1" customWidth="1"/>
    <col min="9214" max="9214" width="21.83203125" style="136" bestFit="1" customWidth="1"/>
    <col min="9215" max="9215" width="0" style="136" hidden="1" customWidth="1"/>
    <col min="9216" max="9216" width="16.5" style="136" bestFit="1" customWidth="1"/>
    <col min="9217" max="9217" width="14" style="136" bestFit="1" customWidth="1"/>
    <col min="9218" max="9218" width="15.5" style="136" bestFit="1" customWidth="1"/>
    <col min="9219" max="9219" width="9.83203125" style="136" bestFit="1" customWidth="1"/>
    <col min="9220" max="9220" width="8.83203125" style="136" bestFit="1" customWidth="1"/>
    <col min="9221" max="9221" width="11.5" style="136" bestFit="1" customWidth="1"/>
    <col min="9222" max="9222" width="10.5" style="136" bestFit="1" customWidth="1"/>
    <col min="9223" max="9223" width="11.5" style="136" bestFit="1" customWidth="1"/>
    <col min="9224" max="9224" width="12.5" style="136" bestFit="1" customWidth="1"/>
    <col min="9225" max="9225" width="9.08203125" style="136" bestFit="1" customWidth="1"/>
    <col min="9226" max="9226" width="12.5" style="136" bestFit="1" customWidth="1"/>
    <col min="9227" max="9227" width="16.5" style="136" bestFit="1" customWidth="1"/>
    <col min="9228" max="9228" width="13.83203125" style="136" bestFit="1" customWidth="1"/>
    <col min="9229" max="9229" width="8.58203125" style="136" bestFit="1" customWidth="1"/>
    <col min="9230" max="9230" width="6.58203125" style="136" bestFit="1" customWidth="1"/>
    <col min="9231" max="9231" width="9.08203125" style="136" customWidth="1"/>
    <col min="9232" max="9232" width="6.08203125" style="136" bestFit="1" customWidth="1"/>
    <col min="9233" max="9233" width="9.33203125" style="136" bestFit="1" customWidth="1"/>
    <col min="9234" max="9234" width="10.5" style="136" bestFit="1" customWidth="1"/>
    <col min="9235" max="9467" width="9" style="136"/>
    <col min="9468" max="9468" width="6.08203125" style="136" bestFit="1" customWidth="1"/>
    <col min="9469" max="9469" width="14.33203125" style="136" bestFit="1" customWidth="1"/>
    <col min="9470" max="9470" width="21.83203125" style="136" bestFit="1" customWidth="1"/>
    <col min="9471" max="9471" width="0" style="136" hidden="1" customWidth="1"/>
    <col min="9472" max="9472" width="16.5" style="136" bestFit="1" customWidth="1"/>
    <col min="9473" max="9473" width="14" style="136" bestFit="1" customWidth="1"/>
    <col min="9474" max="9474" width="15.5" style="136" bestFit="1" customWidth="1"/>
    <col min="9475" max="9475" width="9.83203125" style="136" bestFit="1" customWidth="1"/>
    <col min="9476" max="9476" width="8.83203125" style="136" bestFit="1" customWidth="1"/>
    <col min="9477" max="9477" width="11.5" style="136" bestFit="1" customWidth="1"/>
    <col min="9478" max="9478" width="10.5" style="136" bestFit="1" customWidth="1"/>
    <col min="9479" max="9479" width="11.5" style="136" bestFit="1" customWidth="1"/>
    <col min="9480" max="9480" width="12.5" style="136" bestFit="1" customWidth="1"/>
    <col min="9481" max="9481" width="9.08203125" style="136" bestFit="1" customWidth="1"/>
    <col min="9482" max="9482" width="12.5" style="136" bestFit="1" customWidth="1"/>
    <col min="9483" max="9483" width="16.5" style="136" bestFit="1" customWidth="1"/>
    <col min="9484" max="9484" width="13.83203125" style="136" bestFit="1" customWidth="1"/>
    <col min="9485" max="9485" width="8.58203125" style="136" bestFit="1" customWidth="1"/>
    <col min="9486" max="9486" width="6.58203125" style="136" bestFit="1" customWidth="1"/>
    <col min="9487" max="9487" width="9.08203125" style="136" customWidth="1"/>
    <col min="9488" max="9488" width="6.08203125" style="136" bestFit="1" customWidth="1"/>
    <col min="9489" max="9489" width="9.33203125" style="136" bestFit="1" customWidth="1"/>
    <col min="9490" max="9490" width="10.5" style="136" bestFit="1" customWidth="1"/>
    <col min="9491" max="9723" width="9" style="136"/>
    <col min="9724" max="9724" width="6.08203125" style="136" bestFit="1" customWidth="1"/>
    <col min="9725" max="9725" width="14.33203125" style="136" bestFit="1" customWidth="1"/>
    <col min="9726" max="9726" width="21.83203125" style="136" bestFit="1" customWidth="1"/>
    <col min="9727" max="9727" width="0" style="136" hidden="1" customWidth="1"/>
    <col min="9728" max="9728" width="16.5" style="136" bestFit="1" customWidth="1"/>
    <col min="9729" max="9729" width="14" style="136" bestFit="1" customWidth="1"/>
    <col min="9730" max="9730" width="15.5" style="136" bestFit="1" customWidth="1"/>
    <col min="9731" max="9731" width="9.83203125" style="136" bestFit="1" customWidth="1"/>
    <col min="9732" max="9732" width="8.83203125" style="136" bestFit="1" customWidth="1"/>
    <col min="9733" max="9733" width="11.5" style="136" bestFit="1" customWidth="1"/>
    <col min="9734" max="9734" width="10.5" style="136" bestFit="1" customWidth="1"/>
    <col min="9735" max="9735" width="11.5" style="136" bestFit="1" customWidth="1"/>
    <col min="9736" max="9736" width="12.5" style="136" bestFit="1" customWidth="1"/>
    <col min="9737" max="9737" width="9.08203125" style="136" bestFit="1" customWidth="1"/>
    <col min="9738" max="9738" width="12.5" style="136" bestFit="1" customWidth="1"/>
    <col min="9739" max="9739" width="16.5" style="136" bestFit="1" customWidth="1"/>
    <col min="9740" max="9740" width="13.83203125" style="136" bestFit="1" customWidth="1"/>
    <col min="9741" max="9741" width="8.58203125" style="136" bestFit="1" customWidth="1"/>
    <col min="9742" max="9742" width="6.58203125" style="136" bestFit="1" customWidth="1"/>
    <col min="9743" max="9743" width="9.08203125" style="136" customWidth="1"/>
    <col min="9744" max="9744" width="6.08203125" style="136" bestFit="1" customWidth="1"/>
    <col min="9745" max="9745" width="9.33203125" style="136" bestFit="1" customWidth="1"/>
    <col min="9746" max="9746" width="10.5" style="136" bestFit="1" customWidth="1"/>
    <col min="9747" max="9979" width="9" style="136"/>
    <col min="9980" max="9980" width="6.08203125" style="136" bestFit="1" customWidth="1"/>
    <col min="9981" max="9981" width="14.33203125" style="136" bestFit="1" customWidth="1"/>
    <col min="9982" max="9982" width="21.83203125" style="136" bestFit="1" customWidth="1"/>
    <col min="9983" max="9983" width="0" style="136" hidden="1" customWidth="1"/>
    <col min="9984" max="9984" width="16.5" style="136" bestFit="1" customWidth="1"/>
    <col min="9985" max="9985" width="14" style="136" bestFit="1" customWidth="1"/>
    <col min="9986" max="9986" width="15.5" style="136" bestFit="1" customWidth="1"/>
    <col min="9987" max="9987" width="9.83203125" style="136" bestFit="1" customWidth="1"/>
    <col min="9988" max="9988" width="8.83203125" style="136" bestFit="1" customWidth="1"/>
    <col min="9989" max="9989" width="11.5" style="136" bestFit="1" customWidth="1"/>
    <col min="9990" max="9990" width="10.5" style="136" bestFit="1" customWidth="1"/>
    <col min="9991" max="9991" width="11.5" style="136" bestFit="1" customWidth="1"/>
    <col min="9992" max="9992" width="12.5" style="136" bestFit="1" customWidth="1"/>
    <col min="9993" max="9993" width="9.08203125" style="136" bestFit="1" customWidth="1"/>
    <col min="9994" max="9994" width="12.5" style="136" bestFit="1" customWidth="1"/>
    <col min="9995" max="9995" width="16.5" style="136" bestFit="1" customWidth="1"/>
    <col min="9996" max="9996" width="13.83203125" style="136" bestFit="1" customWidth="1"/>
    <col min="9997" max="9997" width="8.58203125" style="136" bestFit="1" customWidth="1"/>
    <col min="9998" max="9998" width="6.58203125" style="136" bestFit="1" customWidth="1"/>
    <col min="9999" max="9999" width="9.08203125" style="136" customWidth="1"/>
    <col min="10000" max="10000" width="6.08203125" style="136" bestFit="1" customWidth="1"/>
    <col min="10001" max="10001" width="9.33203125" style="136" bestFit="1" customWidth="1"/>
    <col min="10002" max="10002" width="10.5" style="136" bestFit="1" customWidth="1"/>
    <col min="10003" max="10235" width="9" style="136"/>
    <col min="10236" max="10236" width="6.08203125" style="136" bestFit="1" customWidth="1"/>
    <col min="10237" max="10237" width="14.33203125" style="136" bestFit="1" customWidth="1"/>
    <col min="10238" max="10238" width="21.83203125" style="136" bestFit="1" customWidth="1"/>
    <col min="10239" max="10239" width="0" style="136" hidden="1" customWidth="1"/>
    <col min="10240" max="10240" width="16.5" style="136" bestFit="1" customWidth="1"/>
    <col min="10241" max="10241" width="14" style="136" bestFit="1" customWidth="1"/>
    <col min="10242" max="10242" width="15.5" style="136" bestFit="1" customWidth="1"/>
    <col min="10243" max="10243" width="9.83203125" style="136" bestFit="1" customWidth="1"/>
    <col min="10244" max="10244" width="8.83203125" style="136" bestFit="1" customWidth="1"/>
    <col min="10245" max="10245" width="11.5" style="136" bestFit="1" customWidth="1"/>
    <col min="10246" max="10246" width="10.5" style="136" bestFit="1" customWidth="1"/>
    <col min="10247" max="10247" width="11.5" style="136" bestFit="1" customWidth="1"/>
    <col min="10248" max="10248" width="12.5" style="136" bestFit="1" customWidth="1"/>
    <col min="10249" max="10249" width="9.08203125" style="136" bestFit="1" customWidth="1"/>
    <col min="10250" max="10250" width="12.5" style="136" bestFit="1" customWidth="1"/>
    <col min="10251" max="10251" width="16.5" style="136" bestFit="1" customWidth="1"/>
    <col min="10252" max="10252" width="13.83203125" style="136" bestFit="1" customWidth="1"/>
    <col min="10253" max="10253" width="8.58203125" style="136" bestFit="1" customWidth="1"/>
    <col min="10254" max="10254" width="6.58203125" style="136" bestFit="1" customWidth="1"/>
    <col min="10255" max="10255" width="9.08203125" style="136" customWidth="1"/>
    <col min="10256" max="10256" width="6.08203125" style="136" bestFit="1" customWidth="1"/>
    <col min="10257" max="10257" width="9.33203125" style="136" bestFit="1" customWidth="1"/>
    <col min="10258" max="10258" width="10.5" style="136" bestFit="1" customWidth="1"/>
    <col min="10259" max="10491" width="9" style="136"/>
    <col min="10492" max="10492" width="6.08203125" style="136" bestFit="1" customWidth="1"/>
    <col min="10493" max="10493" width="14.33203125" style="136" bestFit="1" customWidth="1"/>
    <col min="10494" max="10494" width="21.83203125" style="136" bestFit="1" customWidth="1"/>
    <col min="10495" max="10495" width="0" style="136" hidden="1" customWidth="1"/>
    <col min="10496" max="10496" width="16.5" style="136" bestFit="1" customWidth="1"/>
    <col min="10497" max="10497" width="14" style="136" bestFit="1" customWidth="1"/>
    <col min="10498" max="10498" width="15.5" style="136" bestFit="1" customWidth="1"/>
    <col min="10499" max="10499" width="9.83203125" style="136" bestFit="1" customWidth="1"/>
    <col min="10500" max="10500" width="8.83203125" style="136" bestFit="1" customWidth="1"/>
    <col min="10501" max="10501" width="11.5" style="136" bestFit="1" customWidth="1"/>
    <col min="10502" max="10502" width="10.5" style="136" bestFit="1" customWidth="1"/>
    <col min="10503" max="10503" width="11.5" style="136" bestFit="1" customWidth="1"/>
    <col min="10504" max="10504" width="12.5" style="136" bestFit="1" customWidth="1"/>
    <col min="10505" max="10505" width="9.08203125" style="136" bestFit="1" customWidth="1"/>
    <col min="10506" max="10506" width="12.5" style="136" bestFit="1" customWidth="1"/>
    <col min="10507" max="10507" width="16.5" style="136" bestFit="1" customWidth="1"/>
    <col min="10508" max="10508" width="13.83203125" style="136" bestFit="1" customWidth="1"/>
    <col min="10509" max="10509" width="8.58203125" style="136" bestFit="1" customWidth="1"/>
    <col min="10510" max="10510" width="6.58203125" style="136" bestFit="1" customWidth="1"/>
    <col min="10511" max="10511" width="9.08203125" style="136" customWidth="1"/>
    <col min="10512" max="10512" width="6.08203125" style="136" bestFit="1" customWidth="1"/>
    <col min="10513" max="10513" width="9.33203125" style="136" bestFit="1" customWidth="1"/>
    <col min="10514" max="10514" width="10.5" style="136" bestFit="1" customWidth="1"/>
    <col min="10515" max="10747" width="9" style="136"/>
    <col min="10748" max="10748" width="6.08203125" style="136" bestFit="1" customWidth="1"/>
    <col min="10749" max="10749" width="14.33203125" style="136" bestFit="1" customWidth="1"/>
    <col min="10750" max="10750" width="21.83203125" style="136" bestFit="1" customWidth="1"/>
    <col min="10751" max="10751" width="0" style="136" hidden="1" customWidth="1"/>
    <col min="10752" max="10752" width="16.5" style="136" bestFit="1" customWidth="1"/>
    <col min="10753" max="10753" width="14" style="136" bestFit="1" customWidth="1"/>
    <col min="10754" max="10754" width="15.5" style="136" bestFit="1" customWidth="1"/>
    <col min="10755" max="10755" width="9.83203125" style="136" bestFit="1" customWidth="1"/>
    <col min="10756" max="10756" width="8.83203125" style="136" bestFit="1" customWidth="1"/>
    <col min="10757" max="10757" width="11.5" style="136" bestFit="1" customWidth="1"/>
    <col min="10758" max="10758" width="10.5" style="136" bestFit="1" customWidth="1"/>
    <col min="10759" max="10759" width="11.5" style="136" bestFit="1" customWidth="1"/>
    <col min="10760" max="10760" width="12.5" style="136" bestFit="1" customWidth="1"/>
    <col min="10761" max="10761" width="9.08203125" style="136" bestFit="1" customWidth="1"/>
    <col min="10762" max="10762" width="12.5" style="136" bestFit="1" customWidth="1"/>
    <col min="10763" max="10763" width="16.5" style="136" bestFit="1" customWidth="1"/>
    <col min="10764" max="10764" width="13.83203125" style="136" bestFit="1" customWidth="1"/>
    <col min="10765" max="10765" width="8.58203125" style="136" bestFit="1" customWidth="1"/>
    <col min="10766" max="10766" width="6.58203125" style="136" bestFit="1" customWidth="1"/>
    <col min="10767" max="10767" width="9.08203125" style="136" customWidth="1"/>
    <col min="10768" max="10768" width="6.08203125" style="136" bestFit="1" customWidth="1"/>
    <col min="10769" max="10769" width="9.33203125" style="136" bestFit="1" customWidth="1"/>
    <col min="10770" max="10770" width="10.5" style="136" bestFit="1" customWidth="1"/>
    <col min="10771" max="11003" width="9" style="136"/>
    <col min="11004" max="11004" width="6.08203125" style="136" bestFit="1" customWidth="1"/>
    <col min="11005" max="11005" width="14.33203125" style="136" bestFit="1" customWidth="1"/>
    <col min="11006" max="11006" width="21.83203125" style="136" bestFit="1" customWidth="1"/>
    <col min="11007" max="11007" width="0" style="136" hidden="1" customWidth="1"/>
    <col min="11008" max="11008" width="16.5" style="136" bestFit="1" customWidth="1"/>
    <col min="11009" max="11009" width="14" style="136" bestFit="1" customWidth="1"/>
    <col min="11010" max="11010" width="15.5" style="136" bestFit="1" customWidth="1"/>
    <col min="11011" max="11011" width="9.83203125" style="136" bestFit="1" customWidth="1"/>
    <col min="11012" max="11012" width="8.83203125" style="136" bestFit="1" customWidth="1"/>
    <col min="11013" max="11013" width="11.5" style="136" bestFit="1" customWidth="1"/>
    <col min="11014" max="11014" width="10.5" style="136" bestFit="1" customWidth="1"/>
    <col min="11015" max="11015" width="11.5" style="136" bestFit="1" customWidth="1"/>
    <col min="11016" max="11016" width="12.5" style="136" bestFit="1" customWidth="1"/>
    <col min="11017" max="11017" width="9.08203125" style="136" bestFit="1" customWidth="1"/>
    <col min="11018" max="11018" width="12.5" style="136" bestFit="1" customWidth="1"/>
    <col min="11019" max="11019" width="16.5" style="136" bestFit="1" customWidth="1"/>
    <col min="11020" max="11020" width="13.83203125" style="136" bestFit="1" customWidth="1"/>
    <col min="11021" max="11021" width="8.58203125" style="136" bestFit="1" customWidth="1"/>
    <col min="11022" max="11022" width="6.58203125" style="136" bestFit="1" customWidth="1"/>
    <col min="11023" max="11023" width="9.08203125" style="136" customWidth="1"/>
    <col min="11024" max="11024" width="6.08203125" style="136" bestFit="1" customWidth="1"/>
    <col min="11025" max="11025" width="9.33203125" style="136" bestFit="1" customWidth="1"/>
    <col min="11026" max="11026" width="10.5" style="136" bestFit="1" customWidth="1"/>
    <col min="11027" max="11259" width="9" style="136"/>
    <col min="11260" max="11260" width="6.08203125" style="136" bestFit="1" customWidth="1"/>
    <col min="11261" max="11261" width="14.33203125" style="136" bestFit="1" customWidth="1"/>
    <col min="11262" max="11262" width="21.83203125" style="136" bestFit="1" customWidth="1"/>
    <col min="11263" max="11263" width="0" style="136" hidden="1" customWidth="1"/>
    <col min="11264" max="11264" width="16.5" style="136" bestFit="1" customWidth="1"/>
    <col min="11265" max="11265" width="14" style="136" bestFit="1" customWidth="1"/>
    <col min="11266" max="11266" width="15.5" style="136" bestFit="1" customWidth="1"/>
    <col min="11267" max="11267" width="9.83203125" style="136" bestFit="1" customWidth="1"/>
    <col min="11268" max="11268" width="8.83203125" style="136" bestFit="1" customWidth="1"/>
    <col min="11269" max="11269" width="11.5" style="136" bestFit="1" customWidth="1"/>
    <col min="11270" max="11270" width="10.5" style="136" bestFit="1" customWidth="1"/>
    <col min="11271" max="11271" width="11.5" style="136" bestFit="1" customWidth="1"/>
    <col min="11272" max="11272" width="12.5" style="136" bestFit="1" customWidth="1"/>
    <col min="11273" max="11273" width="9.08203125" style="136" bestFit="1" customWidth="1"/>
    <col min="11274" max="11274" width="12.5" style="136" bestFit="1" customWidth="1"/>
    <col min="11275" max="11275" width="16.5" style="136" bestFit="1" customWidth="1"/>
    <col min="11276" max="11276" width="13.83203125" style="136" bestFit="1" customWidth="1"/>
    <col min="11277" max="11277" width="8.58203125" style="136" bestFit="1" customWidth="1"/>
    <col min="11278" max="11278" width="6.58203125" style="136" bestFit="1" customWidth="1"/>
    <col min="11279" max="11279" width="9.08203125" style="136" customWidth="1"/>
    <col min="11280" max="11280" width="6.08203125" style="136" bestFit="1" customWidth="1"/>
    <col min="11281" max="11281" width="9.33203125" style="136" bestFit="1" customWidth="1"/>
    <col min="11282" max="11282" width="10.5" style="136" bestFit="1" customWidth="1"/>
    <col min="11283" max="11515" width="9" style="136"/>
    <col min="11516" max="11516" width="6.08203125" style="136" bestFit="1" customWidth="1"/>
    <col min="11517" max="11517" width="14.33203125" style="136" bestFit="1" customWidth="1"/>
    <col min="11518" max="11518" width="21.83203125" style="136" bestFit="1" customWidth="1"/>
    <col min="11519" max="11519" width="0" style="136" hidden="1" customWidth="1"/>
    <col min="11520" max="11520" width="16.5" style="136" bestFit="1" customWidth="1"/>
    <col min="11521" max="11521" width="14" style="136" bestFit="1" customWidth="1"/>
    <col min="11522" max="11522" width="15.5" style="136" bestFit="1" customWidth="1"/>
    <col min="11523" max="11523" width="9.83203125" style="136" bestFit="1" customWidth="1"/>
    <col min="11524" max="11524" width="8.83203125" style="136" bestFit="1" customWidth="1"/>
    <col min="11525" max="11525" width="11.5" style="136" bestFit="1" customWidth="1"/>
    <col min="11526" max="11526" width="10.5" style="136" bestFit="1" customWidth="1"/>
    <col min="11527" max="11527" width="11.5" style="136" bestFit="1" customWidth="1"/>
    <col min="11528" max="11528" width="12.5" style="136" bestFit="1" customWidth="1"/>
    <col min="11529" max="11529" width="9.08203125" style="136" bestFit="1" customWidth="1"/>
    <col min="11530" max="11530" width="12.5" style="136" bestFit="1" customWidth="1"/>
    <col min="11531" max="11531" width="16.5" style="136" bestFit="1" customWidth="1"/>
    <col min="11532" max="11532" width="13.83203125" style="136" bestFit="1" customWidth="1"/>
    <col min="11533" max="11533" width="8.58203125" style="136" bestFit="1" customWidth="1"/>
    <col min="11534" max="11534" width="6.58203125" style="136" bestFit="1" customWidth="1"/>
    <col min="11535" max="11535" width="9.08203125" style="136" customWidth="1"/>
    <col min="11536" max="11536" width="6.08203125" style="136" bestFit="1" customWidth="1"/>
    <col min="11537" max="11537" width="9.33203125" style="136" bestFit="1" customWidth="1"/>
    <col min="11538" max="11538" width="10.5" style="136" bestFit="1" customWidth="1"/>
    <col min="11539" max="11771" width="9" style="136"/>
    <col min="11772" max="11772" width="6.08203125" style="136" bestFit="1" customWidth="1"/>
    <col min="11773" max="11773" width="14.33203125" style="136" bestFit="1" customWidth="1"/>
    <col min="11774" max="11774" width="21.83203125" style="136" bestFit="1" customWidth="1"/>
    <col min="11775" max="11775" width="0" style="136" hidden="1" customWidth="1"/>
    <col min="11776" max="11776" width="16.5" style="136" bestFit="1" customWidth="1"/>
    <col min="11777" max="11777" width="14" style="136" bestFit="1" customWidth="1"/>
    <col min="11778" max="11778" width="15.5" style="136" bestFit="1" customWidth="1"/>
    <col min="11779" max="11779" width="9.83203125" style="136" bestFit="1" customWidth="1"/>
    <col min="11780" max="11780" width="8.83203125" style="136" bestFit="1" customWidth="1"/>
    <col min="11781" max="11781" width="11.5" style="136" bestFit="1" customWidth="1"/>
    <col min="11782" max="11782" width="10.5" style="136" bestFit="1" customWidth="1"/>
    <col min="11783" max="11783" width="11.5" style="136" bestFit="1" customWidth="1"/>
    <col min="11784" max="11784" width="12.5" style="136" bestFit="1" customWidth="1"/>
    <col min="11785" max="11785" width="9.08203125" style="136" bestFit="1" customWidth="1"/>
    <col min="11786" max="11786" width="12.5" style="136" bestFit="1" customWidth="1"/>
    <col min="11787" max="11787" width="16.5" style="136" bestFit="1" customWidth="1"/>
    <col min="11788" max="11788" width="13.83203125" style="136" bestFit="1" customWidth="1"/>
    <col min="11789" max="11789" width="8.58203125" style="136" bestFit="1" customWidth="1"/>
    <col min="11790" max="11790" width="6.58203125" style="136" bestFit="1" customWidth="1"/>
    <col min="11791" max="11791" width="9.08203125" style="136" customWidth="1"/>
    <col min="11792" max="11792" width="6.08203125" style="136" bestFit="1" customWidth="1"/>
    <col min="11793" max="11793" width="9.33203125" style="136" bestFit="1" customWidth="1"/>
    <col min="11794" max="11794" width="10.5" style="136" bestFit="1" customWidth="1"/>
    <col min="11795" max="12027" width="9" style="136"/>
    <col min="12028" max="12028" width="6.08203125" style="136" bestFit="1" customWidth="1"/>
    <col min="12029" max="12029" width="14.33203125" style="136" bestFit="1" customWidth="1"/>
    <col min="12030" max="12030" width="21.83203125" style="136" bestFit="1" customWidth="1"/>
    <col min="12031" max="12031" width="0" style="136" hidden="1" customWidth="1"/>
    <col min="12032" max="12032" width="16.5" style="136" bestFit="1" customWidth="1"/>
    <col min="12033" max="12033" width="14" style="136" bestFit="1" customWidth="1"/>
    <col min="12034" max="12034" width="15.5" style="136" bestFit="1" customWidth="1"/>
    <col min="12035" max="12035" width="9.83203125" style="136" bestFit="1" customWidth="1"/>
    <col min="12036" max="12036" width="8.83203125" style="136" bestFit="1" customWidth="1"/>
    <col min="12037" max="12037" width="11.5" style="136" bestFit="1" customWidth="1"/>
    <col min="12038" max="12038" width="10.5" style="136" bestFit="1" customWidth="1"/>
    <col min="12039" max="12039" width="11.5" style="136" bestFit="1" customWidth="1"/>
    <col min="12040" max="12040" width="12.5" style="136" bestFit="1" customWidth="1"/>
    <col min="12041" max="12041" width="9.08203125" style="136" bestFit="1" customWidth="1"/>
    <col min="12042" max="12042" width="12.5" style="136" bestFit="1" customWidth="1"/>
    <col min="12043" max="12043" width="16.5" style="136" bestFit="1" customWidth="1"/>
    <col min="12044" max="12044" width="13.83203125" style="136" bestFit="1" customWidth="1"/>
    <col min="12045" max="12045" width="8.58203125" style="136" bestFit="1" customWidth="1"/>
    <col min="12046" max="12046" width="6.58203125" style="136" bestFit="1" customWidth="1"/>
    <col min="12047" max="12047" width="9.08203125" style="136" customWidth="1"/>
    <col min="12048" max="12048" width="6.08203125" style="136" bestFit="1" customWidth="1"/>
    <col min="12049" max="12049" width="9.33203125" style="136" bestFit="1" customWidth="1"/>
    <col min="12050" max="12050" width="10.5" style="136" bestFit="1" customWidth="1"/>
    <col min="12051" max="12283" width="9" style="136"/>
    <col min="12284" max="12284" width="6.08203125" style="136" bestFit="1" customWidth="1"/>
    <col min="12285" max="12285" width="14.33203125" style="136" bestFit="1" customWidth="1"/>
    <col min="12286" max="12286" width="21.83203125" style="136" bestFit="1" customWidth="1"/>
    <col min="12287" max="12287" width="0" style="136" hidden="1" customWidth="1"/>
    <col min="12288" max="12288" width="16.5" style="136" bestFit="1" customWidth="1"/>
    <col min="12289" max="12289" width="14" style="136" bestFit="1" customWidth="1"/>
    <col min="12290" max="12290" width="15.5" style="136" bestFit="1" customWidth="1"/>
    <col min="12291" max="12291" width="9.83203125" style="136" bestFit="1" customWidth="1"/>
    <col min="12292" max="12292" width="8.83203125" style="136" bestFit="1" customWidth="1"/>
    <col min="12293" max="12293" width="11.5" style="136" bestFit="1" customWidth="1"/>
    <col min="12294" max="12294" width="10.5" style="136" bestFit="1" customWidth="1"/>
    <col min="12295" max="12295" width="11.5" style="136" bestFit="1" customWidth="1"/>
    <col min="12296" max="12296" width="12.5" style="136" bestFit="1" customWidth="1"/>
    <col min="12297" max="12297" width="9.08203125" style="136" bestFit="1" customWidth="1"/>
    <col min="12298" max="12298" width="12.5" style="136" bestFit="1" customWidth="1"/>
    <col min="12299" max="12299" width="16.5" style="136" bestFit="1" customWidth="1"/>
    <col min="12300" max="12300" width="13.83203125" style="136" bestFit="1" customWidth="1"/>
    <col min="12301" max="12301" width="8.58203125" style="136" bestFit="1" customWidth="1"/>
    <col min="12302" max="12302" width="6.58203125" style="136" bestFit="1" customWidth="1"/>
    <col min="12303" max="12303" width="9.08203125" style="136" customWidth="1"/>
    <col min="12304" max="12304" width="6.08203125" style="136" bestFit="1" customWidth="1"/>
    <col min="12305" max="12305" width="9.33203125" style="136" bestFit="1" customWidth="1"/>
    <col min="12306" max="12306" width="10.5" style="136" bestFit="1" customWidth="1"/>
    <col min="12307" max="12539" width="9" style="136"/>
    <col min="12540" max="12540" width="6.08203125" style="136" bestFit="1" customWidth="1"/>
    <col min="12541" max="12541" width="14.33203125" style="136" bestFit="1" customWidth="1"/>
    <col min="12542" max="12542" width="21.83203125" style="136" bestFit="1" customWidth="1"/>
    <col min="12543" max="12543" width="0" style="136" hidden="1" customWidth="1"/>
    <col min="12544" max="12544" width="16.5" style="136" bestFit="1" customWidth="1"/>
    <col min="12545" max="12545" width="14" style="136" bestFit="1" customWidth="1"/>
    <col min="12546" max="12546" width="15.5" style="136" bestFit="1" customWidth="1"/>
    <col min="12547" max="12547" width="9.83203125" style="136" bestFit="1" customWidth="1"/>
    <col min="12548" max="12548" width="8.83203125" style="136" bestFit="1" customWidth="1"/>
    <col min="12549" max="12549" width="11.5" style="136" bestFit="1" customWidth="1"/>
    <col min="12550" max="12550" width="10.5" style="136" bestFit="1" customWidth="1"/>
    <col min="12551" max="12551" width="11.5" style="136" bestFit="1" customWidth="1"/>
    <col min="12552" max="12552" width="12.5" style="136" bestFit="1" customWidth="1"/>
    <col min="12553" max="12553" width="9.08203125" style="136" bestFit="1" customWidth="1"/>
    <col min="12554" max="12554" width="12.5" style="136" bestFit="1" customWidth="1"/>
    <col min="12555" max="12555" width="16.5" style="136" bestFit="1" customWidth="1"/>
    <col min="12556" max="12556" width="13.83203125" style="136" bestFit="1" customWidth="1"/>
    <col min="12557" max="12557" width="8.58203125" style="136" bestFit="1" customWidth="1"/>
    <col min="12558" max="12558" width="6.58203125" style="136" bestFit="1" customWidth="1"/>
    <col min="12559" max="12559" width="9.08203125" style="136" customWidth="1"/>
    <col min="12560" max="12560" width="6.08203125" style="136" bestFit="1" customWidth="1"/>
    <col min="12561" max="12561" width="9.33203125" style="136" bestFit="1" customWidth="1"/>
    <col min="12562" max="12562" width="10.5" style="136" bestFit="1" customWidth="1"/>
    <col min="12563" max="12795" width="9" style="136"/>
    <col min="12796" max="12796" width="6.08203125" style="136" bestFit="1" customWidth="1"/>
    <col min="12797" max="12797" width="14.33203125" style="136" bestFit="1" customWidth="1"/>
    <col min="12798" max="12798" width="21.83203125" style="136" bestFit="1" customWidth="1"/>
    <col min="12799" max="12799" width="0" style="136" hidden="1" customWidth="1"/>
    <col min="12800" max="12800" width="16.5" style="136" bestFit="1" customWidth="1"/>
    <col min="12801" max="12801" width="14" style="136" bestFit="1" customWidth="1"/>
    <col min="12802" max="12802" width="15.5" style="136" bestFit="1" customWidth="1"/>
    <col min="12803" max="12803" width="9.83203125" style="136" bestFit="1" customWidth="1"/>
    <col min="12804" max="12804" width="8.83203125" style="136" bestFit="1" customWidth="1"/>
    <col min="12805" max="12805" width="11.5" style="136" bestFit="1" customWidth="1"/>
    <col min="12806" max="12806" width="10.5" style="136" bestFit="1" customWidth="1"/>
    <col min="12807" max="12807" width="11.5" style="136" bestFit="1" customWidth="1"/>
    <col min="12808" max="12808" width="12.5" style="136" bestFit="1" customWidth="1"/>
    <col min="12809" max="12809" width="9.08203125" style="136" bestFit="1" customWidth="1"/>
    <col min="12810" max="12810" width="12.5" style="136" bestFit="1" customWidth="1"/>
    <col min="12811" max="12811" width="16.5" style="136" bestFit="1" customWidth="1"/>
    <col min="12812" max="12812" width="13.83203125" style="136" bestFit="1" customWidth="1"/>
    <col min="12813" max="12813" width="8.58203125" style="136" bestFit="1" customWidth="1"/>
    <col min="12814" max="12814" width="6.58203125" style="136" bestFit="1" customWidth="1"/>
    <col min="12815" max="12815" width="9.08203125" style="136" customWidth="1"/>
    <col min="12816" max="12816" width="6.08203125" style="136" bestFit="1" customWidth="1"/>
    <col min="12817" max="12817" width="9.33203125" style="136" bestFit="1" customWidth="1"/>
    <col min="12818" max="12818" width="10.5" style="136" bestFit="1" customWidth="1"/>
    <col min="12819" max="13051" width="9" style="136"/>
    <col min="13052" max="13052" width="6.08203125" style="136" bestFit="1" customWidth="1"/>
    <col min="13053" max="13053" width="14.33203125" style="136" bestFit="1" customWidth="1"/>
    <col min="13054" max="13054" width="21.83203125" style="136" bestFit="1" customWidth="1"/>
    <col min="13055" max="13055" width="0" style="136" hidden="1" customWidth="1"/>
    <col min="13056" max="13056" width="16.5" style="136" bestFit="1" customWidth="1"/>
    <col min="13057" max="13057" width="14" style="136" bestFit="1" customWidth="1"/>
    <col min="13058" max="13058" width="15.5" style="136" bestFit="1" customWidth="1"/>
    <col min="13059" max="13059" width="9.83203125" style="136" bestFit="1" customWidth="1"/>
    <col min="13060" max="13060" width="8.83203125" style="136" bestFit="1" customWidth="1"/>
    <col min="13061" max="13061" width="11.5" style="136" bestFit="1" customWidth="1"/>
    <col min="13062" max="13062" width="10.5" style="136" bestFit="1" customWidth="1"/>
    <col min="13063" max="13063" width="11.5" style="136" bestFit="1" customWidth="1"/>
    <col min="13064" max="13064" width="12.5" style="136" bestFit="1" customWidth="1"/>
    <col min="13065" max="13065" width="9.08203125" style="136" bestFit="1" customWidth="1"/>
    <col min="13066" max="13066" width="12.5" style="136" bestFit="1" customWidth="1"/>
    <col min="13067" max="13067" width="16.5" style="136" bestFit="1" customWidth="1"/>
    <col min="13068" max="13068" width="13.83203125" style="136" bestFit="1" customWidth="1"/>
    <col min="13069" max="13069" width="8.58203125" style="136" bestFit="1" customWidth="1"/>
    <col min="13070" max="13070" width="6.58203125" style="136" bestFit="1" customWidth="1"/>
    <col min="13071" max="13071" width="9.08203125" style="136" customWidth="1"/>
    <col min="13072" max="13072" width="6.08203125" style="136" bestFit="1" customWidth="1"/>
    <col min="13073" max="13073" width="9.33203125" style="136" bestFit="1" customWidth="1"/>
    <col min="13074" max="13074" width="10.5" style="136" bestFit="1" customWidth="1"/>
    <col min="13075" max="13307" width="9" style="136"/>
    <col min="13308" max="13308" width="6.08203125" style="136" bestFit="1" customWidth="1"/>
    <col min="13309" max="13309" width="14.33203125" style="136" bestFit="1" customWidth="1"/>
    <col min="13310" max="13310" width="21.83203125" style="136" bestFit="1" customWidth="1"/>
    <col min="13311" max="13311" width="0" style="136" hidden="1" customWidth="1"/>
    <col min="13312" max="13312" width="16.5" style="136" bestFit="1" customWidth="1"/>
    <col min="13313" max="13313" width="14" style="136" bestFit="1" customWidth="1"/>
    <col min="13314" max="13314" width="15.5" style="136" bestFit="1" customWidth="1"/>
    <col min="13315" max="13315" width="9.83203125" style="136" bestFit="1" customWidth="1"/>
    <col min="13316" max="13316" width="8.83203125" style="136" bestFit="1" customWidth="1"/>
    <col min="13317" max="13317" width="11.5" style="136" bestFit="1" customWidth="1"/>
    <col min="13318" max="13318" width="10.5" style="136" bestFit="1" customWidth="1"/>
    <col min="13319" max="13319" width="11.5" style="136" bestFit="1" customWidth="1"/>
    <col min="13320" max="13320" width="12.5" style="136" bestFit="1" customWidth="1"/>
    <col min="13321" max="13321" width="9.08203125" style="136" bestFit="1" customWidth="1"/>
    <col min="13322" max="13322" width="12.5" style="136" bestFit="1" customWidth="1"/>
    <col min="13323" max="13323" width="16.5" style="136" bestFit="1" customWidth="1"/>
    <col min="13324" max="13324" width="13.83203125" style="136" bestFit="1" customWidth="1"/>
    <col min="13325" max="13325" width="8.58203125" style="136" bestFit="1" customWidth="1"/>
    <col min="13326" max="13326" width="6.58203125" style="136" bestFit="1" customWidth="1"/>
    <col min="13327" max="13327" width="9.08203125" style="136" customWidth="1"/>
    <col min="13328" max="13328" width="6.08203125" style="136" bestFit="1" customWidth="1"/>
    <col min="13329" max="13329" width="9.33203125" style="136" bestFit="1" customWidth="1"/>
    <col min="13330" max="13330" width="10.5" style="136" bestFit="1" customWidth="1"/>
    <col min="13331" max="13563" width="9" style="136"/>
    <col min="13564" max="13564" width="6.08203125" style="136" bestFit="1" customWidth="1"/>
    <col min="13565" max="13565" width="14.33203125" style="136" bestFit="1" customWidth="1"/>
    <col min="13566" max="13566" width="21.83203125" style="136" bestFit="1" customWidth="1"/>
    <col min="13567" max="13567" width="0" style="136" hidden="1" customWidth="1"/>
    <col min="13568" max="13568" width="16.5" style="136" bestFit="1" customWidth="1"/>
    <col min="13569" max="13569" width="14" style="136" bestFit="1" customWidth="1"/>
    <col min="13570" max="13570" width="15.5" style="136" bestFit="1" customWidth="1"/>
    <col min="13571" max="13571" width="9.83203125" style="136" bestFit="1" customWidth="1"/>
    <col min="13572" max="13572" width="8.83203125" style="136" bestFit="1" customWidth="1"/>
    <col min="13573" max="13573" width="11.5" style="136" bestFit="1" customWidth="1"/>
    <col min="13574" max="13574" width="10.5" style="136" bestFit="1" customWidth="1"/>
    <col min="13575" max="13575" width="11.5" style="136" bestFit="1" customWidth="1"/>
    <col min="13576" max="13576" width="12.5" style="136" bestFit="1" customWidth="1"/>
    <col min="13577" max="13577" width="9.08203125" style="136" bestFit="1" customWidth="1"/>
    <col min="13578" max="13578" width="12.5" style="136" bestFit="1" customWidth="1"/>
    <col min="13579" max="13579" width="16.5" style="136" bestFit="1" customWidth="1"/>
    <col min="13580" max="13580" width="13.83203125" style="136" bestFit="1" customWidth="1"/>
    <col min="13581" max="13581" width="8.58203125" style="136" bestFit="1" customWidth="1"/>
    <col min="13582" max="13582" width="6.58203125" style="136" bestFit="1" customWidth="1"/>
    <col min="13583" max="13583" width="9.08203125" style="136" customWidth="1"/>
    <col min="13584" max="13584" width="6.08203125" style="136" bestFit="1" customWidth="1"/>
    <col min="13585" max="13585" width="9.33203125" style="136" bestFit="1" customWidth="1"/>
    <col min="13586" max="13586" width="10.5" style="136" bestFit="1" customWidth="1"/>
    <col min="13587" max="13819" width="9" style="136"/>
    <col min="13820" max="13820" width="6.08203125" style="136" bestFit="1" customWidth="1"/>
    <col min="13821" max="13821" width="14.33203125" style="136" bestFit="1" customWidth="1"/>
    <col min="13822" max="13822" width="21.83203125" style="136" bestFit="1" customWidth="1"/>
    <col min="13823" max="13823" width="0" style="136" hidden="1" customWidth="1"/>
    <col min="13824" max="13824" width="16.5" style="136" bestFit="1" customWidth="1"/>
    <col min="13825" max="13825" width="14" style="136" bestFit="1" customWidth="1"/>
    <col min="13826" max="13826" width="15.5" style="136" bestFit="1" customWidth="1"/>
    <col min="13827" max="13827" width="9.83203125" style="136" bestFit="1" customWidth="1"/>
    <col min="13828" max="13828" width="8.83203125" style="136" bestFit="1" customWidth="1"/>
    <col min="13829" max="13829" width="11.5" style="136" bestFit="1" customWidth="1"/>
    <col min="13830" max="13830" width="10.5" style="136" bestFit="1" customWidth="1"/>
    <col min="13831" max="13831" width="11.5" style="136" bestFit="1" customWidth="1"/>
    <col min="13832" max="13832" width="12.5" style="136" bestFit="1" customWidth="1"/>
    <col min="13833" max="13833" width="9.08203125" style="136" bestFit="1" customWidth="1"/>
    <col min="13834" max="13834" width="12.5" style="136" bestFit="1" customWidth="1"/>
    <col min="13835" max="13835" width="16.5" style="136" bestFit="1" customWidth="1"/>
    <col min="13836" max="13836" width="13.83203125" style="136" bestFit="1" customWidth="1"/>
    <col min="13837" max="13837" width="8.58203125" style="136" bestFit="1" customWidth="1"/>
    <col min="13838" max="13838" width="6.58203125" style="136" bestFit="1" customWidth="1"/>
    <col min="13839" max="13839" width="9.08203125" style="136" customWidth="1"/>
    <col min="13840" max="13840" width="6.08203125" style="136" bestFit="1" customWidth="1"/>
    <col min="13841" max="13841" width="9.33203125" style="136" bestFit="1" customWidth="1"/>
    <col min="13842" max="13842" width="10.5" style="136" bestFit="1" customWidth="1"/>
    <col min="13843" max="14075" width="9" style="136"/>
    <col min="14076" max="14076" width="6.08203125" style="136" bestFit="1" customWidth="1"/>
    <col min="14077" max="14077" width="14.33203125" style="136" bestFit="1" customWidth="1"/>
    <col min="14078" max="14078" width="21.83203125" style="136" bestFit="1" customWidth="1"/>
    <col min="14079" max="14079" width="0" style="136" hidden="1" customWidth="1"/>
    <col min="14080" max="14080" width="16.5" style="136" bestFit="1" customWidth="1"/>
    <col min="14081" max="14081" width="14" style="136" bestFit="1" customWidth="1"/>
    <col min="14082" max="14082" width="15.5" style="136" bestFit="1" customWidth="1"/>
    <col min="14083" max="14083" width="9.83203125" style="136" bestFit="1" customWidth="1"/>
    <col min="14084" max="14084" width="8.83203125" style="136" bestFit="1" customWidth="1"/>
    <col min="14085" max="14085" width="11.5" style="136" bestFit="1" customWidth="1"/>
    <col min="14086" max="14086" width="10.5" style="136" bestFit="1" customWidth="1"/>
    <col min="14087" max="14087" width="11.5" style="136" bestFit="1" customWidth="1"/>
    <col min="14088" max="14088" width="12.5" style="136" bestFit="1" customWidth="1"/>
    <col min="14089" max="14089" width="9.08203125" style="136" bestFit="1" customWidth="1"/>
    <col min="14090" max="14090" width="12.5" style="136" bestFit="1" customWidth="1"/>
    <col min="14091" max="14091" width="16.5" style="136" bestFit="1" customWidth="1"/>
    <col min="14092" max="14092" width="13.83203125" style="136" bestFit="1" customWidth="1"/>
    <col min="14093" max="14093" width="8.58203125" style="136" bestFit="1" customWidth="1"/>
    <col min="14094" max="14094" width="6.58203125" style="136" bestFit="1" customWidth="1"/>
    <col min="14095" max="14095" width="9.08203125" style="136" customWidth="1"/>
    <col min="14096" max="14096" width="6.08203125" style="136" bestFit="1" customWidth="1"/>
    <col min="14097" max="14097" width="9.33203125" style="136" bestFit="1" customWidth="1"/>
    <col min="14098" max="14098" width="10.5" style="136" bestFit="1" customWidth="1"/>
    <col min="14099" max="14331" width="9" style="136"/>
    <col min="14332" max="14332" width="6.08203125" style="136" bestFit="1" customWidth="1"/>
    <col min="14333" max="14333" width="14.33203125" style="136" bestFit="1" customWidth="1"/>
    <col min="14334" max="14334" width="21.83203125" style="136" bestFit="1" customWidth="1"/>
    <col min="14335" max="14335" width="0" style="136" hidden="1" customWidth="1"/>
    <col min="14336" max="14336" width="16.5" style="136" bestFit="1" customWidth="1"/>
    <col min="14337" max="14337" width="14" style="136" bestFit="1" customWidth="1"/>
    <col min="14338" max="14338" width="15.5" style="136" bestFit="1" customWidth="1"/>
    <col min="14339" max="14339" width="9.83203125" style="136" bestFit="1" customWidth="1"/>
    <col min="14340" max="14340" width="8.83203125" style="136" bestFit="1" customWidth="1"/>
    <col min="14341" max="14341" width="11.5" style="136" bestFit="1" customWidth="1"/>
    <col min="14342" max="14342" width="10.5" style="136" bestFit="1" customWidth="1"/>
    <col min="14343" max="14343" width="11.5" style="136" bestFit="1" customWidth="1"/>
    <col min="14344" max="14344" width="12.5" style="136" bestFit="1" customWidth="1"/>
    <col min="14345" max="14345" width="9.08203125" style="136" bestFit="1" customWidth="1"/>
    <col min="14346" max="14346" width="12.5" style="136" bestFit="1" customWidth="1"/>
    <col min="14347" max="14347" width="16.5" style="136" bestFit="1" customWidth="1"/>
    <col min="14348" max="14348" width="13.83203125" style="136" bestFit="1" customWidth="1"/>
    <col min="14349" max="14349" width="8.58203125" style="136" bestFit="1" customWidth="1"/>
    <col min="14350" max="14350" width="6.58203125" style="136" bestFit="1" customWidth="1"/>
    <col min="14351" max="14351" width="9.08203125" style="136" customWidth="1"/>
    <col min="14352" max="14352" width="6.08203125" style="136" bestFit="1" customWidth="1"/>
    <col min="14353" max="14353" width="9.33203125" style="136" bestFit="1" customWidth="1"/>
    <col min="14354" max="14354" width="10.5" style="136" bestFit="1" customWidth="1"/>
    <col min="14355" max="14587" width="9" style="136"/>
    <col min="14588" max="14588" width="6.08203125" style="136" bestFit="1" customWidth="1"/>
    <col min="14589" max="14589" width="14.33203125" style="136" bestFit="1" customWidth="1"/>
    <col min="14590" max="14590" width="21.83203125" style="136" bestFit="1" customWidth="1"/>
    <col min="14591" max="14591" width="0" style="136" hidden="1" customWidth="1"/>
    <col min="14592" max="14592" width="16.5" style="136" bestFit="1" customWidth="1"/>
    <col min="14593" max="14593" width="14" style="136" bestFit="1" customWidth="1"/>
    <col min="14594" max="14594" width="15.5" style="136" bestFit="1" customWidth="1"/>
    <col min="14595" max="14595" width="9.83203125" style="136" bestFit="1" customWidth="1"/>
    <col min="14596" max="14596" width="8.83203125" style="136" bestFit="1" customWidth="1"/>
    <col min="14597" max="14597" width="11.5" style="136" bestFit="1" customWidth="1"/>
    <col min="14598" max="14598" width="10.5" style="136" bestFit="1" customWidth="1"/>
    <col min="14599" max="14599" width="11.5" style="136" bestFit="1" customWidth="1"/>
    <col min="14600" max="14600" width="12.5" style="136" bestFit="1" customWidth="1"/>
    <col min="14601" max="14601" width="9.08203125" style="136" bestFit="1" customWidth="1"/>
    <col min="14602" max="14602" width="12.5" style="136" bestFit="1" customWidth="1"/>
    <col min="14603" max="14603" width="16.5" style="136" bestFit="1" customWidth="1"/>
    <col min="14604" max="14604" width="13.83203125" style="136" bestFit="1" customWidth="1"/>
    <col min="14605" max="14605" width="8.58203125" style="136" bestFit="1" customWidth="1"/>
    <col min="14606" max="14606" width="6.58203125" style="136" bestFit="1" customWidth="1"/>
    <col min="14607" max="14607" width="9.08203125" style="136" customWidth="1"/>
    <col min="14608" max="14608" width="6.08203125" style="136" bestFit="1" customWidth="1"/>
    <col min="14609" max="14609" width="9.33203125" style="136" bestFit="1" customWidth="1"/>
    <col min="14610" max="14610" width="10.5" style="136" bestFit="1" customWidth="1"/>
    <col min="14611" max="14843" width="9" style="136"/>
    <col min="14844" max="14844" width="6.08203125" style="136" bestFit="1" customWidth="1"/>
    <col min="14845" max="14845" width="14.33203125" style="136" bestFit="1" customWidth="1"/>
    <col min="14846" max="14846" width="21.83203125" style="136" bestFit="1" customWidth="1"/>
    <col min="14847" max="14847" width="0" style="136" hidden="1" customWidth="1"/>
    <col min="14848" max="14848" width="16.5" style="136" bestFit="1" customWidth="1"/>
    <col min="14849" max="14849" width="14" style="136" bestFit="1" customWidth="1"/>
    <col min="14850" max="14850" width="15.5" style="136" bestFit="1" customWidth="1"/>
    <col min="14851" max="14851" width="9.83203125" style="136" bestFit="1" customWidth="1"/>
    <col min="14852" max="14852" width="8.83203125" style="136" bestFit="1" customWidth="1"/>
    <col min="14853" max="14853" width="11.5" style="136" bestFit="1" customWidth="1"/>
    <col min="14854" max="14854" width="10.5" style="136" bestFit="1" customWidth="1"/>
    <col min="14855" max="14855" width="11.5" style="136" bestFit="1" customWidth="1"/>
    <col min="14856" max="14856" width="12.5" style="136" bestFit="1" customWidth="1"/>
    <col min="14857" max="14857" width="9.08203125" style="136" bestFit="1" customWidth="1"/>
    <col min="14858" max="14858" width="12.5" style="136" bestFit="1" customWidth="1"/>
    <col min="14859" max="14859" width="16.5" style="136" bestFit="1" customWidth="1"/>
    <col min="14860" max="14860" width="13.83203125" style="136" bestFit="1" customWidth="1"/>
    <col min="14861" max="14861" width="8.58203125" style="136" bestFit="1" customWidth="1"/>
    <col min="14862" max="14862" width="6.58203125" style="136" bestFit="1" customWidth="1"/>
    <col min="14863" max="14863" width="9.08203125" style="136" customWidth="1"/>
    <col min="14864" max="14864" width="6.08203125" style="136" bestFit="1" customWidth="1"/>
    <col min="14865" max="14865" width="9.33203125" style="136" bestFit="1" customWidth="1"/>
    <col min="14866" max="14866" width="10.5" style="136" bestFit="1" customWidth="1"/>
    <col min="14867" max="15099" width="9" style="136"/>
    <col min="15100" max="15100" width="6.08203125" style="136" bestFit="1" customWidth="1"/>
    <col min="15101" max="15101" width="14.33203125" style="136" bestFit="1" customWidth="1"/>
    <col min="15102" max="15102" width="21.83203125" style="136" bestFit="1" customWidth="1"/>
    <col min="15103" max="15103" width="0" style="136" hidden="1" customWidth="1"/>
    <col min="15104" max="15104" width="16.5" style="136" bestFit="1" customWidth="1"/>
    <col min="15105" max="15105" width="14" style="136" bestFit="1" customWidth="1"/>
    <col min="15106" max="15106" width="15.5" style="136" bestFit="1" customWidth="1"/>
    <col min="15107" max="15107" width="9.83203125" style="136" bestFit="1" customWidth="1"/>
    <col min="15108" max="15108" width="8.83203125" style="136" bestFit="1" customWidth="1"/>
    <col min="15109" max="15109" width="11.5" style="136" bestFit="1" customWidth="1"/>
    <col min="15110" max="15110" width="10.5" style="136" bestFit="1" customWidth="1"/>
    <col min="15111" max="15111" width="11.5" style="136" bestFit="1" customWidth="1"/>
    <col min="15112" max="15112" width="12.5" style="136" bestFit="1" customWidth="1"/>
    <col min="15113" max="15113" width="9.08203125" style="136" bestFit="1" customWidth="1"/>
    <col min="15114" max="15114" width="12.5" style="136" bestFit="1" customWidth="1"/>
    <col min="15115" max="15115" width="16.5" style="136" bestFit="1" customWidth="1"/>
    <col min="15116" max="15116" width="13.83203125" style="136" bestFit="1" customWidth="1"/>
    <col min="15117" max="15117" width="8.58203125" style="136" bestFit="1" customWidth="1"/>
    <col min="15118" max="15118" width="6.58203125" style="136" bestFit="1" customWidth="1"/>
    <col min="15119" max="15119" width="9.08203125" style="136" customWidth="1"/>
    <col min="15120" max="15120" width="6.08203125" style="136" bestFit="1" customWidth="1"/>
    <col min="15121" max="15121" width="9.33203125" style="136" bestFit="1" customWidth="1"/>
    <col min="15122" max="15122" width="10.5" style="136" bestFit="1" customWidth="1"/>
    <col min="15123" max="15355" width="9" style="136"/>
    <col min="15356" max="15356" width="6.08203125" style="136" bestFit="1" customWidth="1"/>
    <col min="15357" max="15357" width="14.33203125" style="136" bestFit="1" customWidth="1"/>
    <col min="15358" max="15358" width="21.83203125" style="136" bestFit="1" customWidth="1"/>
    <col min="15359" max="15359" width="0" style="136" hidden="1" customWidth="1"/>
    <col min="15360" max="15360" width="16.5" style="136" bestFit="1" customWidth="1"/>
    <col min="15361" max="15361" width="14" style="136" bestFit="1" customWidth="1"/>
    <col min="15362" max="15362" width="15.5" style="136" bestFit="1" customWidth="1"/>
    <col min="15363" max="15363" width="9.83203125" style="136" bestFit="1" customWidth="1"/>
    <col min="15364" max="15364" width="8.83203125" style="136" bestFit="1" customWidth="1"/>
    <col min="15365" max="15365" width="11.5" style="136" bestFit="1" customWidth="1"/>
    <col min="15366" max="15366" width="10.5" style="136" bestFit="1" customWidth="1"/>
    <col min="15367" max="15367" width="11.5" style="136" bestFit="1" customWidth="1"/>
    <col min="15368" max="15368" width="12.5" style="136" bestFit="1" customWidth="1"/>
    <col min="15369" max="15369" width="9.08203125" style="136" bestFit="1" customWidth="1"/>
    <col min="15370" max="15370" width="12.5" style="136" bestFit="1" customWidth="1"/>
    <col min="15371" max="15371" width="16.5" style="136" bestFit="1" customWidth="1"/>
    <col min="15372" max="15372" width="13.83203125" style="136" bestFit="1" customWidth="1"/>
    <col min="15373" max="15373" width="8.58203125" style="136" bestFit="1" customWidth="1"/>
    <col min="15374" max="15374" width="6.58203125" style="136" bestFit="1" customWidth="1"/>
    <col min="15375" max="15375" width="9.08203125" style="136" customWidth="1"/>
    <col min="15376" max="15376" width="6.08203125" style="136" bestFit="1" customWidth="1"/>
    <col min="15377" max="15377" width="9.33203125" style="136" bestFit="1" customWidth="1"/>
    <col min="15378" max="15378" width="10.5" style="136" bestFit="1" customWidth="1"/>
    <col min="15379" max="15611" width="9" style="136"/>
    <col min="15612" max="15612" width="6.08203125" style="136" bestFit="1" customWidth="1"/>
    <col min="15613" max="15613" width="14.33203125" style="136" bestFit="1" customWidth="1"/>
    <col min="15614" max="15614" width="21.83203125" style="136" bestFit="1" customWidth="1"/>
    <col min="15615" max="15615" width="0" style="136" hidden="1" customWidth="1"/>
    <col min="15616" max="15616" width="16.5" style="136" bestFit="1" customWidth="1"/>
    <col min="15617" max="15617" width="14" style="136" bestFit="1" customWidth="1"/>
    <col min="15618" max="15618" width="15.5" style="136" bestFit="1" customWidth="1"/>
    <col min="15619" max="15619" width="9.83203125" style="136" bestFit="1" customWidth="1"/>
    <col min="15620" max="15620" width="8.83203125" style="136" bestFit="1" customWidth="1"/>
    <col min="15621" max="15621" width="11.5" style="136" bestFit="1" customWidth="1"/>
    <col min="15622" max="15622" width="10.5" style="136" bestFit="1" customWidth="1"/>
    <col min="15623" max="15623" width="11.5" style="136" bestFit="1" customWidth="1"/>
    <col min="15624" max="15624" width="12.5" style="136" bestFit="1" customWidth="1"/>
    <col min="15625" max="15625" width="9.08203125" style="136" bestFit="1" customWidth="1"/>
    <col min="15626" max="15626" width="12.5" style="136" bestFit="1" customWidth="1"/>
    <col min="15627" max="15627" width="16.5" style="136" bestFit="1" customWidth="1"/>
    <col min="15628" max="15628" width="13.83203125" style="136" bestFit="1" customWidth="1"/>
    <col min="15629" max="15629" width="8.58203125" style="136" bestFit="1" customWidth="1"/>
    <col min="15630" max="15630" width="6.58203125" style="136" bestFit="1" customWidth="1"/>
    <col min="15631" max="15631" width="9.08203125" style="136" customWidth="1"/>
    <col min="15632" max="15632" width="6.08203125" style="136" bestFit="1" customWidth="1"/>
    <col min="15633" max="15633" width="9.33203125" style="136" bestFit="1" customWidth="1"/>
    <col min="15634" max="15634" width="10.5" style="136" bestFit="1" customWidth="1"/>
    <col min="15635" max="15867" width="9" style="136"/>
    <col min="15868" max="15868" width="6.08203125" style="136" bestFit="1" customWidth="1"/>
    <col min="15869" max="15869" width="14.33203125" style="136" bestFit="1" customWidth="1"/>
    <col min="15870" max="15870" width="21.83203125" style="136" bestFit="1" customWidth="1"/>
    <col min="15871" max="15871" width="0" style="136" hidden="1" customWidth="1"/>
    <col min="15872" max="15872" width="16.5" style="136" bestFit="1" customWidth="1"/>
    <col min="15873" max="15873" width="14" style="136" bestFit="1" customWidth="1"/>
    <col min="15874" max="15874" width="15.5" style="136" bestFit="1" customWidth="1"/>
    <col min="15875" max="15875" width="9.83203125" style="136" bestFit="1" customWidth="1"/>
    <col min="15876" max="15876" width="8.83203125" style="136" bestFit="1" customWidth="1"/>
    <col min="15877" max="15877" width="11.5" style="136" bestFit="1" customWidth="1"/>
    <col min="15878" max="15878" width="10.5" style="136" bestFit="1" customWidth="1"/>
    <col min="15879" max="15879" width="11.5" style="136" bestFit="1" customWidth="1"/>
    <col min="15880" max="15880" width="12.5" style="136" bestFit="1" customWidth="1"/>
    <col min="15881" max="15881" width="9.08203125" style="136" bestFit="1" customWidth="1"/>
    <col min="15882" max="15882" width="12.5" style="136" bestFit="1" customWidth="1"/>
    <col min="15883" max="15883" width="16.5" style="136" bestFit="1" customWidth="1"/>
    <col min="15884" max="15884" width="13.83203125" style="136" bestFit="1" customWidth="1"/>
    <col min="15885" max="15885" width="8.58203125" style="136" bestFit="1" customWidth="1"/>
    <col min="15886" max="15886" width="6.58203125" style="136" bestFit="1" customWidth="1"/>
    <col min="15887" max="15887" width="9.08203125" style="136" customWidth="1"/>
    <col min="15888" max="15888" width="6.08203125" style="136" bestFit="1" customWidth="1"/>
    <col min="15889" max="15889" width="9.33203125" style="136" bestFit="1" customWidth="1"/>
    <col min="15890" max="15890" width="10.5" style="136" bestFit="1" customWidth="1"/>
    <col min="15891" max="16123" width="9" style="136"/>
    <col min="16124" max="16124" width="6.08203125" style="136" bestFit="1" customWidth="1"/>
    <col min="16125" max="16125" width="14.33203125" style="136" bestFit="1" customWidth="1"/>
    <col min="16126" max="16126" width="21.83203125" style="136" bestFit="1" customWidth="1"/>
    <col min="16127" max="16127" width="0" style="136" hidden="1" customWidth="1"/>
    <col min="16128" max="16128" width="16.5" style="136" bestFit="1" customWidth="1"/>
    <col min="16129" max="16129" width="14" style="136" bestFit="1" customWidth="1"/>
    <col min="16130" max="16130" width="15.5" style="136" bestFit="1" customWidth="1"/>
    <col min="16131" max="16131" width="9.83203125" style="136" bestFit="1" customWidth="1"/>
    <col min="16132" max="16132" width="8.83203125" style="136" bestFit="1" customWidth="1"/>
    <col min="16133" max="16133" width="11.5" style="136" bestFit="1" customWidth="1"/>
    <col min="16134" max="16134" width="10.5" style="136" bestFit="1" customWidth="1"/>
    <col min="16135" max="16135" width="11.5" style="136" bestFit="1" customWidth="1"/>
    <col min="16136" max="16136" width="12.5" style="136" bestFit="1" customWidth="1"/>
    <col min="16137" max="16137" width="9.08203125" style="136" bestFit="1" customWidth="1"/>
    <col min="16138" max="16138" width="12.5" style="136" bestFit="1" customWidth="1"/>
    <col min="16139" max="16139" width="16.5" style="136" bestFit="1" customWidth="1"/>
    <col min="16140" max="16140" width="13.83203125" style="136" bestFit="1" customWidth="1"/>
    <col min="16141" max="16141" width="8.58203125" style="136" bestFit="1" customWidth="1"/>
    <col min="16142" max="16142" width="6.58203125" style="136" bestFit="1" customWidth="1"/>
    <col min="16143" max="16143" width="9.08203125" style="136" customWidth="1"/>
    <col min="16144" max="16144" width="6.08203125" style="136" bestFit="1" customWidth="1"/>
    <col min="16145" max="16145" width="9.33203125" style="136" bestFit="1" customWidth="1"/>
    <col min="16146" max="16146" width="10.5" style="136" bestFit="1" customWidth="1"/>
    <col min="16147" max="16384" width="9" style="136"/>
  </cols>
  <sheetData>
    <row r="1" spans="1:26" x14ac:dyDescent="0.25">
      <c r="A1" s="137">
        <v>1</v>
      </c>
      <c r="B1" s="137">
        <f>+A1+1</f>
        <v>2</v>
      </c>
      <c r="C1" s="137">
        <f t="shared" ref="C1:Z1" si="0">+B1+1</f>
        <v>3</v>
      </c>
      <c r="D1" s="215">
        <f t="shared" si="0"/>
        <v>4</v>
      </c>
      <c r="E1" s="215">
        <f t="shared" si="0"/>
        <v>5</v>
      </c>
      <c r="F1" s="215">
        <f t="shared" si="0"/>
        <v>6</v>
      </c>
      <c r="G1" s="215">
        <f t="shared" si="0"/>
        <v>7</v>
      </c>
      <c r="H1" s="137">
        <f t="shared" si="0"/>
        <v>8</v>
      </c>
      <c r="I1" s="137">
        <f t="shared" si="0"/>
        <v>9</v>
      </c>
      <c r="J1" s="137">
        <f t="shared" si="0"/>
        <v>10</v>
      </c>
      <c r="K1" s="137">
        <f t="shared" si="0"/>
        <v>11</v>
      </c>
      <c r="L1" s="137">
        <f t="shared" si="0"/>
        <v>12</v>
      </c>
      <c r="M1" s="137">
        <f t="shared" si="0"/>
        <v>13</v>
      </c>
      <c r="N1" s="137">
        <f t="shared" si="0"/>
        <v>14</v>
      </c>
      <c r="O1" s="216">
        <f t="shared" si="0"/>
        <v>15</v>
      </c>
      <c r="P1" s="137">
        <f t="shared" si="0"/>
        <v>16</v>
      </c>
      <c r="Q1" s="137">
        <f t="shared" si="0"/>
        <v>17</v>
      </c>
      <c r="R1" s="137">
        <f t="shared" si="0"/>
        <v>18</v>
      </c>
      <c r="S1" s="137">
        <f t="shared" si="0"/>
        <v>19</v>
      </c>
      <c r="T1" s="137">
        <f t="shared" si="0"/>
        <v>20</v>
      </c>
      <c r="U1" s="137">
        <f t="shared" si="0"/>
        <v>21</v>
      </c>
      <c r="V1" s="137">
        <f t="shared" si="0"/>
        <v>22</v>
      </c>
      <c r="W1" s="137">
        <f t="shared" si="0"/>
        <v>23</v>
      </c>
      <c r="X1" s="225">
        <f t="shared" si="0"/>
        <v>24</v>
      </c>
      <c r="Y1" s="215">
        <f t="shared" si="0"/>
        <v>25</v>
      </c>
      <c r="Z1" s="215">
        <f t="shared" si="0"/>
        <v>26</v>
      </c>
    </row>
    <row r="2" spans="1:26" ht="52" x14ac:dyDescent="0.3">
      <c r="A2" s="128" t="s">
        <v>73</v>
      </c>
      <c r="B2" s="128" t="s">
        <v>74</v>
      </c>
      <c r="C2" s="128" t="s">
        <v>75</v>
      </c>
      <c r="D2" s="217" t="s">
        <v>586</v>
      </c>
      <c r="E2" s="217" t="s">
        <v>587</v>
      </c>
      <c r="F2" s="217" t="s">
        <v>588</v>
      </c>
      <c r="G2" s="217" t="s">
        <v>589</v>
      </c>
      <c r="H2" s="134" t="s">
        <v>590</v>
      </c>
      <c r="I2" s="134" t="s">
        <v>591</v>
      </c>
      <c r="J2" s="129" t="s">
        <v>592</v>
      </c>
      <c r="K2" s="130" t="s">
        <v>593</v>
      </c>
      <c r="L2" s="130" t="s">
        <v>594</v>
      </c>
      <c r="M2" s="130" t="s">
        <v>595</v>
      </c>
      <c r="N2" s="129" t="s">
        <v>596</v>
      </c>
      <c r="O2" s="218" t="s">
        <v>597</v>
      </c>
      <c r="P2" s="128" t="s">
        <v>598</v>
      </c>
      <c r="Q2" s="131" t="s">
        <v>599</v>
      </c>
      <c r="R2" s="132" t="s">
        <v>600</v>
      </c>
      <c r="S2" s="132" t="s">
        <v>601</v>
      </c>
      <c r="T2" s="133" t="s">
        <v>602</v>
      </c>
      <c r="U2" s="133" t="s">
        <v>603</v>
      </c>
      <c r="V2" s="133" t="s">
        <v>604</v>
      </c>
      <c r="W2" s="133" t="s">
        <v>605</v>
      </c>
      <c r="X2" s="227" t="s">
        <v>606</v>
      </c>
      <c r="Y2" s="219" t="s">
        <v>607</v>
      </c>
      <c r="Z2" s="219" t="s">
        <v>608</v>
      </c>
    </row>
    <row r="3" spans="1:26" x14ac:dyDescent="0.25">
      <c r="A3" s="164" t="s">
        <v>76</v>
      </c>
      <c r="B3" s="165" t="s">
        <v>77</v>
      </c>
      <c r="C3" s="166" t="s">
        <v>78</v>
      </c>
      <c r="D3" s="220">
        <v>988197850</v>
      </c>
      <c r="E3" s="220">
        <v>-21510350</v>
      </c>
      <c r="F3" s="220">
        <f t="shared" ref="F3:F66" si="1">D3+E3</f>
        <v>966687500</v>
      </c>
      <c r="G3" s="221">
        <v>440727.54</v>
      </c>
      <c r="H3" s="167">
        <v>27</v>
      </c>
      <c r="I3" s="168">
        <v>0</v>
      </c>
      <c r="J3" s="166">
        <v>27</v>
      </c>
      <c r="K3" s="169">
        <v>0</v>
      </c>
      <c r="L3" s="170">
        <v>0</v>
      </c>
      <c r="M3" s="169">
        <v>0.221</v>
      </c>
      <c r="N3" s="166">
        <v>0</v>
      </c>
      <c r="O3" s="222">
        <v>17.244</v>
      </c>
      <c r="P3" s="169">
        <v>0.45800000000000002</v>
      </c>
      <c r="Q3" s="171">
        <f t="shared" ref="Q3:Q66" si="2">SUM(J3:P3)</f>
        <v>44.923000000000002</v>
      </c>
      <c r="R3" s="168">
        <v>12.968999999999999</v>
      </c>
      <c r="S3" s="170">
        <v>0</v>
      </c>
      <c r="T3" s="170">
        <v>0</v>
      </c>
      <c r="U3" s="170">
        <v>0</v>
      </c>
      <c r="V3" s="170">
        <v>0</v>
      </c>
      <c r="W3" s="168">
        <f>Q3+(SUM(S3:V3))</f>
        <v>44.923000000000002</v>
      </c>
      <c r="X3" s="228">
        <v>67.775000000000006</v>
      </c>
      <c r="Y3" s="220">
        <v>66719849.18</v>
      </c>
      <c r="Z3" s="220">
        <v>39374325</v>
      </c>
    </row>
    <row r="4" spans="1:26" x14ac:dyDescent="0.25">
      <c r="A4" s="164" t="s">
        <v>79</v>
      </c>
      <c r="B4" s="165" t="s">
        <v>77</v>
      </c>
      <c r="C4" s="166" t="s">
        <v>80</v>
      </c>
      <c r="D4" s="220">
        <v>3748717500</v>
      </c>
      <c r="E4" s="220">
        <v>-343754673</v>
      </c>
      <c r="F4" s="220">
        <f t="shared" si="1"/>
        <v>3404962827</v>
      </c>
      <c r="G4" s="221">
        <v>1852293.91</v>
      </c>
      <c r="H4" s="167">
        <v>27</v>
      </c>
      <c r="I4" s="168">
        <v>0</v>
      </c>
      <c r="J4" s="166">
        <v>27</v>
      </c>
      <c r="K4" s="169">
        <v>0</v>
      </c>
      <c r="L4" s="170">
        <v>0</v>
      </c>
      <c r="M4" s="169">
        <v>0</v>
      </c>
      <c r="N4" s="166">
        <v>0</v>
      </c>
      <c r="O4" s="222">
        <v>19.157</v>
      </c>
      <c r="P4" s="169">
        <v>0.54400000000000004</v>
      </c>
      <c r="Q4" s="171">
        <f t="shared" si="2"/>
        <v>46.700999999999993</v>
      </c>
      <c r="R4" s="168">
        <v>21.664999999999999</v>
      </c>
      <c r="S4" s="170">
        <v>0</v>
      </c>
      <c r="T4" s="170">
        <v>0</v>
      </c>
      <c r="U4" s="170">
        <v>0</v>
      </c>
      <c r="V4" s="170">
        <v>0</v>
      </c>
      <c r="W4" s="168">
        <f t="shared" ref="W4:W67" si="3">Q4+(SUM(S4:V4))</f>
        <v>46.700999999999993</v>
      </c>
      <c r="X4" s="228">
        <v>116.538</v>
      </c>
      <c r="Y4" s="220">
        <v>401052117.13</v>
      </c>
      <c r="Z4" s="220">
        <v>303976090</v>
      </c>
    </row>
    <row r="5" spans="1:26" x14ac:dyDescent="0.25">
      <c r="A5" s="164" t="s">
        <v>81</v>
      </c>
      <c r="B5" s="165" t="s">
        <v>77</v>
      </c>
      <c r="C5" s="166" t="s">
        <v>82</v>
      </c>
      <c r="D5" s="220">
        <v>993241240</v>
      </c>
      <c r="E5" s="220">
        <v>-7607100</v>
      </c>
      <c r="F5" s="220">
        <f t="shared" si="1"/>
        <v>985634140</v>
      </c>
      <c r="G5" s="221">
        <v>112570.92</v>
      </c>
      <c r="H5" s="167">
        <v>27</v>
      </c>
      <c r="I5" s="168">
        <v>0.312</v>
      </c>
      <c r="J5" s="166">
        <v>26.687999999999999</v>
      </c>
      <c r="K5" s="169">
        <v>0</v>
      </c>
      <c r="L5" s="170">
        <v>0</v>
      </c>
      <c r="M5" s="169">
        <v>0</v>
      </c>
      <c r="N5" s="166">
        <v>0</v>
      </c>
      <c r="O5" s="222">
        <v>4.9610000000000003</v>
      </c>
      <c r="P5" s="169">
        <v>0.114</v>
      </c>
      <c r="Q5" s="171">
        <f t="shared" si="2"/>
        <v>31.763000000000002</v>
      </c>
      <c r="R5" s="168">
        <v>6.2489999999999997</v>
      </c>
      <c r="S5" s="170">
        <v>0</v>
      </c>
      <c r="T5" s="170">
        <v>0</v>
      </c>
      <c r="U5" s="170">
        <v>0</v>
      </c>
      <c r="V5" s="170">
        <v>0</v>
      </c>
      <c r="W5" s="168">
        <f t="shared" si="3"/>
        <v>31.763000000000002</v>
      </c>
      <c r="X5" s="228">
        <v>68.614999999999995</v>
      </c>
      <c r="Y5" s="220">
        <v>69147674.489999995</v>
      </c>
      <c r="Z5" s="220">
        <v>41374851</v>
      </c>
    </row>
    <row r="6" spans="1:26" x14ac:dyDescent="0.25">
      <c r="A6" s="164" t="s">
        <v>83</v>
      </c>
      <c r="B6" s="172" t="s">
        <v>77</v>
      </c>
      <c r="C6" s="173" t="s">
        <v>84</v>
      </c>
      <c r="D6" s="220">
        <v>2635889820</v>
      </c>
      <c r="E6" s="220">
        <v>-202264889</v>
      </c>
      <c r="F6" s="220">
        <f t="shared" si="1"/>
        <v>2433624931</v>
      </c>
      <c r="G6" s="221">
        <v>544164.4</v>
      </c>
      <c r="H6" s="167">
        <v>27</v>
      </c>
      <c r="I6" s="168">
        <v>0</v>
      </c>
      <c r="J6" s="166">
        <v>27</v>
      </c>
      <c r="K6" s="169">
        <v>0</v>
      </c>
      <c r="L6" s="170">
        <v>0</v>
      </c>
      <c r="M6" s="169">
        <v>0</v>
      </c>
      <c r="N6" s="166">
        <v>0</v>
      </c>
      <c r="O6" s="222">
        <v>7.0149999999999997</v>
      </c>
      <c r="P6" s="169">
        <v>0.20599999999999999</v>
      </c>
      <c r="Q6" s="171">
        <f t="shared" si="2"/>
        <v>34.221000000000004</v>
      </c>
      <c r="R6" s="168">
        <v>22.068999999999999</v>
      </c>
      <c r="S6" s="170">
        <v>0</v>
      </c>
      <c r="T6" s="170">
        <v>0</v>
      </c>
      <c r="U6" s="170">
        <v>0</v>
      </c>
      <c r="V6" s="170">
        <v>0</v>
      </c>
      <c r="W6" s="168">
        <f t="shared" si="3"/>
        <v>34.221000000000004</v>
      </c>
      <c r="X6" s="228">
        <v>56.29</v>
      </c>
      <c r="Y6" s="220">
        <v>204651311.71000001</v>
      </c>
      <c r="Z6" s="220">
        <v>137823118</v>
      </c>
    </row>
    <row r="7" spans="1:26" x14ac:dyDescent="0.25">
      <c r="A7" s="164" t="s">
        <v>85</v>
      </c>
      <c r="B7" s="165" t="s">
        <v>77</v>
      </c>
      <c r="C7" s="166" t="s">
        <v>86</v>
      </c>
      <c r="D7" s="220">
        <v>311374658</v>
      </c>
      <c r="E7" s="220">
        <v>0</v>
      </c>
      <c r="F7" s="220">
        <f t="shared" si="1"/>
        <v>311374658</v>
      </c>
      <c r="G7" s="221">
        <v>2768.77</v>
      </c>
      <c r="H7" s="167">
        <v>25.265000000000001</v>
      </c>
      <c r="I7" s="168">
        <v>0.98</v>
      </c>
      <c r="J7" s="166">
        <v>24.285</v>
      </c>
      <c r="K7" s="169">
        <v>0</v>
      </c>
      <c r="L7" s="170">
        <v>0</v>
      </c>
      <c r="M7" s="169">
        <v>0</v>
      </c>
      <c r="N7" s="166">
        <v>0</v>
      </c>
      <c r="O7" s="222">
        <v>0</v>
      </c>
      <c r="P7" s="169">
        <v>3.5999999999999997E-2</v>
      </c>
      <c r="Q7" s="171">
        <f t="shared" si="2"/>
        <v>24.321000000000002</v>
      </c>
      <c r="R7" s="168">
        <v>0</v>
      </c>
      <c r="S7" s="170">
        <v>0</v>
      </c>
      <c r="T7" s="170">
        <v>0</v>
      </c>
      <c r="U7" s="170">
        <v>0</v>
      </c>
      <c r="V7" s="170">
        <v>0</v>
      </c>
      <c r="W7" s="168">
        <f t="shared" si="3"/>
        <v>24.321000000000002</v>
      </c>
      <c r="X7" s="228">
        <v>41.570999999999998</v>
      </c>
      <c r="Y7" s="220">
        <v>13453195.119999999</v>
      </c>
      <c r="Z7" s="220">
        <v>5403073</v>
      </c>
    </row>
    <row r="8" spans="1:26" x14ac:dyDescent="0.25">
      <c r="A8" s="164" t="s">
        <v>87</v>
      </c>
      <c r="B8" s="165" t="s">
        <v>77</v>
      </c>
      <c r="C8" s="166" t="s">
        <v>88</v>
      </c>
      <c r="D8" s="220">
        <v>117484268</v>
      </c>
      <c r="E8" s="220">
        <v>0</v>
      </c>
      <c r="F8" s="220">
        <f t="shared" si="1"/>
        <v>117484268</v>
      </c>
      <c r="G8" s="221">
        <v>5531.62</v>
      </c>
      <c r="H8" s="167">
        <v>27</v>
      </c>
      <c r="I8" s="168">
        <v>0</v>
      </c>
      <c r="J8" s="166">
        <v>27</v>
      </c>
      <c r="K8" s="169">
        <v>0</v>
      </c>
      <c r="L8" s="170">
        <v>0</v>
      </c>
      <c r="M8" s="169">
        <v>0</v>
      </c>
      <c r="N8" s="166">
        <v>0</v>
      </c>
      <c r="O8" s="222">
        <v>2.5529999999999999</v>
      </c>
      <c r="P8" s="169">
        <v>4.7E-2</v>
      </c>
      <c r="Q8" s="171">
        <f t="shared" si="2"/>
        <v>29.6</v>
      </c>
      <c r="R8" s="168">
        <v>14.536</v>
      </c>
      <c r="S8" s="170">
        <v>0</v>
      </c>
      <c r="T8" s="170">
        <v>0</v>
      </c>
      <c r="U8" s="170">
        <v>0</v>
      </c>
      <c r="V8" s="170">
        <v>0</v>
      </c>
      <c r="W8" s="168">
        <f t="shared" si="3"/>
        <v>29.6</v>
      </c>
      <c r="X8" s="228">
        <v>98.168000000000006</v>
      </c>
      <c r="Y8" s="220">
        <v>11696242</v>
      </c>
      <c r="Z8" s="220">
        <v>8360962</v>
      </c>
    </row>
    <row r="9" spans="1:26" x14ac:dyDescent="0.25">
      <c r="A9" s="164" t="s">
        <v>89</v>
      </c>
      <c r="B9" s="165" t="s">
        <v>77</v>
      </c>
      <c r="C9" s="166" t="s">
        <v>90</v>
      </c>
      <c r="D9" s="220">
        <v>924210570</v>
      </c>
      <c r="E9" s="220">
        <v>-2145680</v>
      </c>
      <c r="F9" s="220">
        <f t="shared" si="1"/>
        <v>922064890</v>
      </c>
      <c r="G9" s="221">
        <v>296344.03000000003</v>
      </c>
      <c r="H9" s="167">
        <v>27</v>
      </c>
      <c r="I9" s="168">
        <v>0</v>
      </c>
      <c r="J9" s="166">
        <v>27</v>
      </c>
      <c r="K9" s="169">
        <v>0</v>
      </c>
      <c r="L9" s="170">
        <v>0</v>
      </c>
      <c r="M9" s="169">
        <v>0.56200000000000006</v>
      </c>
      <c r="N9" s="166">
        <v>0</v>
      </c>
      <c r="O9" s="222">
        <v>27.855</v>
      </c>
      <c r="P9" s="169">
        <v>0.317</v>
      </c>
      <c r="Q9" s="171">
        <f t="shared" si="2"/>
        <v>55.734000000000002</v>
      </c>
      <c r="R9" s="168">
        <v>9.0429999999999993</v>
      </c>
      <c r="S9" s="170">
        <v>0</v>
      </c>
      <c r="T9" s="170">
        <v>0</v>
      </c>
      <c r="U9" s="170">
        <v>0</v>
      </c>
      <c r="V9" s="170">
        <v>0</v>
      </c>
      <c r="W9" s="168">
        <f t="shared" si="3"/>
        <v>55.734000000000002</v>
      </c>
      <c r="X9" s="228">
        <v>103.68600000000001</v>
      </c>
      <c r="Y9" s="220">
        <v>97581917.879999995</v>
      </c>
      <c r="Z9" s="220">
        <v>70931604</v>
      </c>
    </row>
    <row r="10" spans="1:26" x14ac:dyDescent="0.25">
      <c r="A10" s="164" t="s">
        <v>91</v>
      </c>
      <c r="B10" s="165" t="s">
        <v>92</v>
      </c>
      <c r="C10" s="166" t="s">
        <v>92</v>
      </c>
      <c r="D10" s="220">
        <v>157290313</v>
      </c>
      <c r="E10" s="220">
        <v>0</v>
      </c>
      <c r="F10" s="220">
        <f t="shared" si="1"/>
        <v>157290313</v>
      </c>
      <c r="G10" s="221">
        <v>44102</v>
      </c>
      <c r="H10" s="167">
        <v>27</v>
      </c>
      <c r="I10" s="168">
        <v>0</v>
      </c>
      <c r="J10" s="166">
        <v>27</v>
      </c>
      <c r="K10" s="169">
        <v>0</v>
      </c>
      <c r="L10" s="170">
        <v>0</v>
      </c>
      <c r="M10" s="169">
        <v>0</v>
      </c>
      <c r="N10" s="166">
        <v>0</v>
      </c>
      <c r="O10" s="222">
        <v>0</v>
      </c>
      <c r="P10" s="169">
        <v>0</v>
      </c>
      <c r="Q10" s="171">
        <f t="shared" si="2"/>
        <v>27</v>
      </c>
      <c r="R10" s="168">
        <v>10.552</v>
      </c>
      <c r="S10" s="170">
        <v>0</v>
      </c>
      <c r="T10" s="170">
        <v>0</v>
      </c>
      <c r="U10" s="170">
        <v>0</v>
      </c>
      <c r="V10" s="170">
        <v>0</v>
      </c>
      <c r="W10" s="168">
        <f t="shared" si="3"/>
        <v>27</v>
      </c>
      <c r="X10" s="228">
        <v>138.161</v>
      </c>
      <c r="Y10" s="220">
        <v>22222616.920000002</v>
      </c>
      <c r="Z10" s="220">
        <v>17484801</v>
      </c>
    </row>
    <row r="11" spans="1:26" x14ac:dyDescent="0.25">
      <c r="A11" s="164" t="s">
        <v>93</v>
      </c>
      <c r="B11" s="165" t="s">
        <v>92</v>
      </c>
      <c r="C11" s="166" t="s">
        <v>94</v>
      </c>
      <c r="D11" s="220">
        <v>45391101</v>
      </c>
      <c r="E11" s="220">
        <v>0</v>
      </c>
      <c r="F11" s="220">
        <f t="shared" si="1"/>
        <v>45391101</v>
      </c>
      <c r="G11" s="221">
        <v>4.45</v>
      </c>
      <c r="H11" s="167">
        <v>27</v>
      </c>
      <c r="I11" s="168">
        <v>0</v>
      </c>
      <c r="J11" s="166">
        <v>27</v>
      </c>
      <c r="K11" s="169">
        <v>0</v>
      </c>
      <c r="L11" s="170">
        <v>0</v>
      </c>
      <c r="M11" s="169">
        <v>0</v>
      </c>
      <c r="N11" s="166">
        <v>0</v>
      </c>
      <c r="O11" s="222">
        <v>0</v>
      </c>
      <c r="P11" s="169">
        <v>0</v>
      </c>
      <c r="Q11" s="171">
        <f t="shared" si="2"/>
        <v>27</v>
      </c>
      <c r="R11" s="168">
        <v>7.0140000000000002</v>
      </c>
      <c r="S11" s="170">
        <v>0</v>
      </c>
      <c r="T11" s="170">
        <v>0</v>
      </c>
      <c r="U11" s="170">
        <v>0</v>
      </c>
      <c r="V11" s="170">
        <v>0</v>
      </c>
      <c r="W11" s="168">
        <f t="shared" si="3"/>
        <v>27</v>
      </c>
      <c r="X11" s="228">
        <v>76.399000000000001</v>
      </c>
      <c r="Y11" s="220">
        <v>3597400.33</v>
      </c>
      <c r="Z11" s="220">
        <v>2238885</v>
      </c>
    </row>
    <row r="12" spans="1:26" x14ac:dyDescent="0.25">
      <c r="A12" s="164" t="s">
        <v>95</v>
      </c>
      <c r="B12" s="165" t="s">
        <v>96</v>
      </c>
      <c r="C12" s="166" t="s">
        <v>97</v>
      </c>
      <c r="D12" s="220">
        <v>724799393</v>
      </c>
      <c r="E12" s="220">
        <v>-14383934</v>
      </c>
      <c r="F12" s="220">
        <f t="shared" si="1"/>
        <v>710415459</v>
      </c>
      <c r="G12" s="221">
        <v>272628.63</v>
      </c>
      <c r="H12" s="167">
        <v>27</v>
      </c>
      <c r="I12" s="168">
        <v>3.105</v>
      </c>
      <c r="J12" s="166">
        <v>23.895</v>
      </c>
      <c r="K12" s="169">
        <v>0</v>
      </c>
      <c r="L12" s="170">
        <v>0</v>
      </c>
      <c r="M12" s="169">
        <v>0</v>
      </c>
      <c r="N12" s="166">
        <v>0</v>
      </c>
      <c r="O12" s="222">
        <v>8.6649999999999991</v>
      </c>
      <c r="P12" s="169">
        <v>0.38400000000000001</v>
      </c>
      <c r="Q12" s="171">
        <f t="shared" si="2"/>
        <v>32.944000000000003</v>
      </c>
      <c r="R12" s="168">
        <v>16.131</v>
      </c>
      <c r="S12" s="170">
        <v>0</v>
      </c>
      <c r="T12" s="170">
        <v>0</v>
      </c>
      <c r="U12" s="170">
        <v>0</v>
      </c>
      <c r="V12" s="170">
        <v>0</v>
      </c>
      <c r="W12" s="168">
        <f t="shared" si="3"/>
        <v>32.944000000000003</v>
      </c>
      <c r="X12" s="228">
        <v>33.036000000000001</v>
      </c>
      <c r="Y12" s="220">
        <v>24506954.100000001</v>
      </c>
      <c r="Z12" s="220">
        <v>6489647</v>
      </c>
    </row>
    <row r="13" spans="1:26" x14ac:dyDescent="0.25">
      <c r="A13" s="164" t="s">
        <v>98</v>
      </c>
      <c r="B13" s="165" t="s">
        <v>96</v>
      </c>
      <c r="C13" s="166" t="s">
        <v>99</v>
      </c>
      <c r="D13" s="220">
        <v>302572080</v>
      </c>
      <c r="E13" s="220">
        <v>-36236260</v>
      </c>
      <c r="F13" s="220">
        <f t="shared" si="1"/>
        <v>266335820</v>
      </c>
      <c r="G13" s="221">
        <v>152498.75</v>
      </c>
      <c r="H13" s="167">
        <v>27</v>
      </c>
      <c r="I13" s="168">
        <v>4.0529999999999999</v>
      </c>
      <c r="J13" s="166">
        <v>22.946999999999999</v>
      </c>
      <c r="K13" s="169">
        <v>0</v>
      </c>
      <c r="L13" s="170">
        <v>0</v>
      </c>
      <c r="M13" s="169">
        <v>0</v>
      </c>
      <c r="N13" s="166">
        <v>0</v>
      </c>
      <c r="O13" s="222">
        <v>14.352</v>
      </c>
      <c r="P13" s="169">
        <v>0.57299999999999995</v>
      </c>
      <c r="Q13" s="171">
        <f t="shared" si="2"/>
        <v>37.872</v>
      </c>
      <c r="R13" s="168">
        <v>5.609</v>
      </c>
      <c r="S13" s="170">
        <v>0</v>
      </c>
      <c r="T13" s="170">
        <v>0</v>
      </c>
      <c r="U13" s="170">
        <v>0</v>
      </c>
      <c r="V13" s="170">
        <v>0</v>
      </c>
      <c r="W13" s="168">
        <f t="shared" si="3"/>
        <v>37.872</v>
      </c>
      <c r="X13" s="228">
        <v>50.747</v>
      </c>
      <c r="Y13" s="220">
        <v>13949492.859999999</v>
      </c>
      <c r="Z13" s="220">
        <v>7406516</v>
      </c>
    </row>
    <row r="14" spans="1:26" x14ac:dyDescent="0.25">
      <c r="A14" s="179" t="s">
        <v>100</v>
      </c>
      <c r="B14" s="165" t="s">
        <v>96</v>
      </c>
      <c r="C14" s="166" t="s">
        <v>101</v>
      </c>
      <c r="D14" s="220">
        <v>7528309112</v>
      </c>
      <c r="E14" s="220">
        <v>-57335318</v>
      </c>
      <c r="F14" s="220">
        <f t="shared" si="1"/>
        <v>7470973794</v>
      </c>
      <c r="G14" s="221">
        <v>2511983.17</v>
      </c>
      <c r="H14" s="167">
        <v>18.756</v>
      </c>
      <c r="I14" s="168">
        <v>0</v>
      </c>
      <c r="J14" s="166">
        <v>18.756</v>
      </c>
      <c r="K14" s="169">
        <v>0</v>
      </c>
      <c r="L14" s="170">
        <v>0</v>
      </c>
      <c r="M14" s="169">
        <v>0.86399999999999999</v>
      </c>
      <c r="N14" s="166">
        <v>5.1999999999999998E-2</v>
      </c>
      <c r="O14" s="222">
        <v>16.806999999999999</v>
      </c>
      <c r="P14" s="169">
        <v>0.33600000000000002</v>
      </c>
      <c r="Q14" s="171">
        <f t="shared" si="2"/>
        <v>36.814999999999998</v>
      </c>
      <c r="R14" s="168">
        <v>7.7759999999999998</v>
      </c>
      <c r="S14" s="170">
        <v>0</v>
      </c>
      <c r="T14" s="170">
        <v>0</v>
      </c>
      <c r="U14" s="170">
        <v>5.2720000000000002</v>
      </c>
      <c r="V14" s="170">
        <v>0</v>
      </c>
      <c r="W14" s="168">
        <f t="shared" si="3"/>
        <v>42.086999999999996</v>
      </c>
      <c r="X14" s="228">
        <v>69.078999999999994</v>
      </c>
      <c r="Y14" s="220">
        <v>525649516</v>
      </c>
      <c r="Z14" s="220">
        <v>375792614</v>
      </c>
    </row>
    <row r="15" spans="1:26" x14ac:dyDescent="0.25">
      <c r="A15" s="164" t="s">
        <v>102</v>
      </c>
      <c r="B15" s="165" t="s">
        <v>96</v>
      </c>
      <c r="C15" s="166" t="s">
        <v>103</v>
      </c>
      <c r="D15" s="220">
        <v>2079912120</v>
      </c>
      <c r="E15" s="220">
        <v>-32495474</v>
      </c>
      <c r="F15" s="220">
        <f t="shared" si="1"/>
        <v>2047416646</v>
      </c>
      <c r="G15" s="221">
        <v>447659.92</v>
      </c>
      <c r="H15" s="167">
        <v>27</v>
      </c>
      <c r="I15" s="168">
        <v>0</v>
      </c>
      <c r="J15" s="166">
        <v>27</v>
      </c>
      <c r="K15" s="169">
        <v>0</v>
      </c>
      <c r="L15" s="170">
        <v>0</v>
      </c>
      <c r="M15" s="169">
        <v>1.131</v>
      </c>
      <c r="N15" s="166">
        <v>0</v>
      </c>
      <c r="O15" s="222">
        <v>12.942</v>
      </c>
      <c r="P15" s="169">
        <v>0.219</v>
      </c>
      <c r="Q15" s="171">
        <f t="shared" si="2"/>
        <v>41.292000000000002</v>
      </c>
      <c r="R15" s="168">
        <v>17.768999999999998</v>
      </c>
      <c r="S15" s="170">
        <v>0</v>
      </c>
      <c r="T15" s="170">
        <v>8</v>
      </c>
      <c r="U15" s="170">
        <v>0</v>
      </c>
      <c r="V15" s="170">
        <v>0</v>
      </c>
      <c r="W15" s="168">
        <f t="shared" si="3"/>
        <v>49.292000000000002</v>
      </c>
      <c r="X15" s="228">
        <v>67.061000000000007</v>
      </c>
      <c r="Y15" s="220">
        <v>132061724.56</v>
      </c>
      <c r="Z15" s="220">
        <v>72526340</v>
      </c>
    </row>
    <row r="16" spans="1:26" x14ac:dyDescent="0.25">
      <c r="A16" s="164" t="s">
        <v>104</v>
      </c>
      <c r="B16" s="165" t="s">
        <v>96</v>
      </c>
      <c r="C16" s="166" t="s">
        <v>105</v>
      </c>
      <c r="D16" s="220">
        <v>53331043</v>
      </c>
      <c r="E16" s="220">
        <v>0</v>
      </c>
      <c r="F16" s="220">
        <f t="shared" si="1"/>
        <v>53331043</v>
      </c>
      <c r="G16" s="221">
        <v>4327.3500000000004</v>
      </c>
      <c r="H16" s="167">
        <v>27</v>
      </c>
      <c r="I16" s="168">
        <v>0</v>
      </c>
      <c r="J16" s="166">
        <v>27</v>
      </c>
      <c r="K16" s="169">
        <v>0</v>
      </c>
      <c r="L16" s="170">
        <v>0</v>
      </c>
      <c r="M16" s="169">
        <v>0</v>
      </c>
      <c r="N16" s="166">
        <v>0</v>
      </c>
      <c r="O16" s="222">
        <v>0</v>
      </c>
      <c r="P16" s="169">
        <v>0</v>
      </c>
      <c r="Q16" s="171">
        <f t="shared" si="2"/>
        <v>27</v>
      </c>
      <c r="R16" s="168">
        <v>9.7590000000000003</v>
      </c>
      <c r="S16" s="170">
        <v>0</v>
      </c>
      <c r="T16" s="170">
        <v>0</v>
      </c>
      <c r="U16" s="170">
        <v>0</v>
      </c>
      <c r="V16" s="170">
        <v>0</v>
      </c>
      <c r="W16" s="168">
        <f t="shared" si="3"/>
        <v>27</v>
      </c>
      <c r="X16" s="228">
        <v>76.081000000000003</v>
      </c>
      <c r="Y16" s="220">
        <v>4148906.53</v>
      </c>
      <c r="Z16" s="220">
        <v>2617151</v>
      </c>
    </row>
    <row r="17" spans="1:26" x14ac:dyDescent="0.25">
      <c r="A17" s="164" t="s">
        <v>106</v>
      </c>
      <c r="B17" s="165" t="s">
        <v>96</v>
      </c>
      <c r="C17" s="166" t="s">
        <v>107</v>
      </c>
      <c r="D17" s="220">
        <v>4044346421</v>
      </c>
      <c r="E17" s="220">
        <v>-122911937</v>
      </c>
      <c r="F17" s="220">
        <f t="shared" si="1"/>
        <v>3921434484</v>
      </c>
      <c r="G17" s="221">
        <v>2675539.11</v>
      </c>
      <c r="H17" s="167">
        <v>27</v>
      </c>
      <c r="I17" s="168">
        <v>0</v>
      </c>
      <c r="J17" s="166">
        <v>27</v>
      </c>
      <c r="K17" s="169">
        <v>0</v>
      </c>
      <c r="L17" s="170">
        <v>0</v>
      </c>
      <c r="M17" s="169">
        <v>0</v>
      </c>
      <c r="N17" s="166">
        <v>0</v>
      </c>
      <c r="O17" s="222">
        <v>27.164000000000001</v>
      </c>
      <c r="P17" s="169">
        <v>0.68200000000000005</v>
      </c>
      <c r="Q17" s="171">
        <f t="shared" si="2"/>
        <v>54.846000000000004</v>
      </c>
      <c r="R17" s="168">
        <v>23</v>
      </c>
      <c r="S17" s="170">
        <v>0</v>
      </c>
      <c r="T17" s="170">
        <v>0</v>
      </c>
      <c r="U17" s="170">
        <v>0</v>
      </c>
      <c r="V17" s="170">
        <v>0</v>
      </c>
      <c r="W17" s="168">
        <f t="shared" si="3"/>
        <v>54.846000000000004</v>
      </c>
      <c r="X17" s="228">
        <v>103.455</v>
      </c>
      <c r="Y17" s="220">
        <v>411488843.22000003</v>
      </c>
      <c r="Z17" s="220">
        <v>299747840</v>
      </c>
    </row>
    <row r="18" spans="1:26" x14ac:dyDescent="0.25">
      <c r="A18" s="164" t="s">
        <v>108</v>
      </c>
      <c r="B18" s="172" t="s">
        <v>96</v>
      </c>
      <c r="C18" s="173" t="s">
        <v>109</v>
      </c>
      <c r="D18" s="220">
        <v>64287681</v>
      </c>
      <c r="E18" s="220">
        <v>0</v>
      </c>
      <c r="F18" s="220">
        <f t="shared" si="1"/>
        <v>64287681</v>
      </c>
      <c r="G18" s="221">
        <v>5437.51</v>
      </c>
      <c r="H18" s="167">
        <v>27</v>
      </c>
      <c r="I18" s="168">
        <v>1.091</v>
      </c>
      <c r="J18" s="166">
        <v>25.908999999999999</v>
      </c>
      <c r="K18" s="169">
        <v>0</v>
      </c>
      <c r="L18" s="170">
        <v>0</v>
      </c>
      <c r="M18" s="169">
        <v>0</v>
      </c>
      <c r="N18" s="166">
        <v>0</v>
      </c>
      <c r="O18" s="222">
        <v>3.734</v>
      </c>
      <c r="P18" s="169">
        <v>8.5000000000000006E-2</v>
      </c>
      <c r="Q18" s="171">
        <f t="shared" si="2"/>
        <v>29.728000000000002</v>
      </c>
      <c r="R18" s="168">
        <v>0</v>
      </c>
      <c r="S18" s="170">
        <v>0</v>
      </c>
      <c r="T18" s="170">
        <v>0</v>
      </c>
      <c r="U18" s="170">
        <v>0</v>
      </c>
      <c r="V18" s="170">
        <v>0</v>
      </c>
      <c r="W18" s="168">
        <f t="shared" si="3"/>
        <v>29.728000000000002</v>
      </c>
      <c r="X18" s="228">
        <v>716.10299999999995</v>
      </c>
      <c r="Y18" s="220">
        <v>46180103.68</v>
      </c>
      <c r="Z18" s="220">
        <v>44371041</v>
      </c>
    </row>
    <row r="19" spans="1:26" x14ac:dyDescent="0.25">
      <c r="A19" s="164" t="s">
        <v>110</v>
      </c>
      <c r="B19" s="165" t="s">
        <v>111</v>
      </c>
      <c r="C19" s="166" t="s">
        <v>111</v>
      </c>
      <c r="D19" s="220">
        <v>373811948</v>
      </c>
      <c r="E19" s="220">
        <v>0</v>
      </c>
      <c r="F19" s="220">
        <f t="shared" si="1"/>
        <v>373811948</v>
      </c>
      <c r="G19" s="221">
        <v>34238.129999999997</v>
      </c>
      <c r="H19" s="167">
        <v>27</v>
      </c>
      <c r="I19" s="168">
        <v>3.9860000000000002</v>
      </c>
      <c r="J19" s="166">
        <v>23.013999999999999</v>
      </c>
      <c r="K19" s="169">
        <v>0</v>
      </c>
      <c r="L19" s="170">
        <v>0</v>
      </c>
      <c r="M19" s="169">
        <v>0</v>
      </c>
      <c r="N19" s="166">
        <v>0</v>
      </c>
      <c r="O19" s="222">
        <v>3.972</v>
      </c>
      <c r="P19" s="169">
        <v>9.1999999999999998E-2</v>
      </c>
      <c r="Q19" s="171">
        <f t="shared" si="2"/>
        <v>27.077999999999999</v>
      </c>
      <c r="R19" s="168">
        <v>0</v>
      </c>
      <c r="S19" s="170">
        <v>0</v>
      </c>
      <c r="T19" s="170">
        <v>0</v>
      </c>
      <c r="U19" s="170">
        <v>0</v>
      </c>
      <c r="V19" s="170">
        <v>0</v>
      </c>
      <c r="W19" s="168">
        <f t="shared" si="3"/>
        <v>27.077999999999999</v>
      </c>
      <c r="X19" s="228">
        <v>43.533999999999999</v>
      </c>
      <c r="Y19" s="220">
        <v>17107070.829999998</v>
      </c>
      <c r="Z19" s="220">
        <v>7677949</v>
      </c>
    </row>
    <row r="20" spans="1:26" x14ac:dyDescent="0.25">
      <c r="A20" s="164" t="s">
        <v>112</v>
      </c>
      <c r="B20" s="172" t="s">
        <v>113</v>
      </c>
      <c r="C20" s="173" t="s">
        <v>114</v>
      </c>
      <c r="D20" s="220">
        <v>29335716</v>
      </c>
      <c r="E20" s="220">
        <v>0</v>
      </c>
      <c r="F20" s="220">
        <f t="shared" si="1"/>
        <v>29335716</v>
      </c>
      <c r="G20" s="221">
        <v>6</v>
      </c>
      <c r="H20" s="167">
        <v>27</v>
      </c>
      <c r="I20" s="168">
        <v>5.6989999999999998</v>
      </c>
      <c r="J20" s="166">
        <v>21.300999999999998</v>
      </c>
      <c r="K20" s="169">
        <v>0</v>
      </c>
      <c r="L20" s="170">
        <v>0</v>
      </c>
      <c r="M20" s="169">
        <v>0</v>
      </c>
      <c r="N20" s="166">
        <v>0</v>
      </c>
      <c r="O20" s="222">
        <v>6.0970000000000004</v>
      </c>
      <c r="P20" s="169">
        <v>0</v>
      </c>
      <c r="Q20" s="171">
        <f t="shared" si="2"/>
        <v>27.398</v>
      </c>
      <c r="R20" s="168">
        <v>13.976000000000001</v>
      </c>
      <c r="S20" s="170">
        <v>0</v>
      </c>
      <c r="T20" s="170">
        <v>0</v>
      </c>
      <c r="U20" s="170">
        <v>0</v>
      </c>
      <c r="V20" s="170">
        <v>0</v>
      </c>
      <c r="W20" s="168">
        <f t="shared" si="3"/>
        <v>27.398</v>
      </c>
      <c r="X20" s="228">
        <v>87.14</v>
      </c>
      <c r="Y20" s="220">
        <v>2617504.7400000002</v>
      </c>
      <c r="Z20" s="220">
        <v>1931280</v>
      </c>
    </row>
    <row r="21" spans="1:26" x14ac:dyDescent="0.25">
      <c r="A21" s="164" t="s">
        <v>115</v>
      </c>
      <c r="B21" s="165" t="s">
        <v>113</v>
      </c>
      <c r="C21" s="166" t="s">
        <v>116</v>
      </c>
      <c r="D21" s="220">
        <v>29603829</v>
      </c>
      <c r="E21" s="220">
        <v>0</v>
      </c>
      <c r="F21" s="220">
        <f t="shared" si="1"/>
        <v>29603829</v>
      </c>
      <c r="G21" s="221">
        <v>10</v>
      </c>
      <c r="H21" s="167">
        <v>26.992000000000001</v>
      </c>
      <c r="I21" s="168">
        <v>6.1909999999999998</v>
      </c>
      <c r="J21" s="166">
        <v>20.800999999999998</v>
      </c>
      <c r="K21" s="169">
        <v>0</v>
      </c>
      <c r="L21" s="170">
        <v>0</v>
      </c>
      <c r="M21" s="169">
        <v>0</v>
      </c>
      <c r="N21" s="166">
        <v>0</v>
      </c>
      <c r="O21" s="222">
        <v>3.3780000000000001</v>
      </c>
      <c r="P21" s="169">
        <v>0</v>
      </c>
      <c r="Q21" s="171">
        <f t="shared" si="2"/>
        <v>24.178999999999998</v>
      </c>
      <c r="R21" s="168">
        <v>0</v>
      </c>
      <c r="S21" s="170">
        <v>0</v>
      </c>
      <c r="T21" s="170">
        <v>0</v>
      </c>
      <c r="U21" s="170">
        <v>0</v>
      </c>
      <c r="V21" s="170">
        <v>0</v>
      </c>
      <c r="W21" s="168">
        <f t="shared" si="3"/>
        <v>24.178999999999998</v>
      </c>
      <c r="X21" s="228">
        <v>40.923999999999999</v>
      </c>
      <c r="Y21" s="220">
        <v>1250283.8700000001</v>
      </c>
      <c r="Z21" s="220">
        <v>595687</v>
      </c>
    </row>
    <row r="22" spans="1:26" x14ac:dyDescent="0.25">
      <c r="A22" s="164" t="s">
        <v>117</v>
      </c>
      <c r="B22" s="165" t="s">
        <v>113</v>
      </c>
      <c r="C22" s="166" t="s">
        <v>118</v>
      </c>
      <c r="D22" s="220">
        <v>33970346</v>
      </c>
      <c r="E22" s="220">
        <v>0</v>
      </c>
      <c r="F22" s="220">
        <f t="shared" si="1"/>
        <v>33970346</v>
      </c>
      <c r="G22" s="221">
        <v>0</v>
      </c>
      <c r="H22" s="167">
        <v>27</v>
      </c>
      <c r="I22" s="168">
        <v>0</v>
      </c>
      <c r="J22" s="166">
        <v>27</v>
      </c>
      <c r="K22" s="169">
        <v>0</v>
      </c>
      <c r="L22" s="170">
        <v>0</v>
      </c>
      <c r="M22" s="169">
        <v>0</v>
      </c>
      <c r="N22" s="166">
        <v>0</v>
      </c>
      <c r="O22" s="222">
        <v>0</v>
      </c>
      <c r="P22" s="169">
        <v>0</v>
      </c>
      <c r="Q22" s="171">
        <f t="shared" si="2"/>
        <v>27</v>
      </c>
      <c r="R22" s="168">
        <v>13.837</v>
      </c>
      <c r="S22" s="170">
        <v>0</v>
      </c>
      <c r="T22" s="170">
        <v>0</v>
      </c>
      <c r="U22" s="170">
        <v>0</v>
      </c>
      <c r="V22" s="170">
        <v>0</v>
      </c>
      <c r="W22" s="168">
        <f t="shared" si="3"/>
        <v>27</v>
      </c>
      <c r="X22" s="228">
        <v>102.235</v>
      </c>
      <c r="Y22" s="220">
        <v>3590952.05</v>
      </c>
      <c r="Z22" s="220">
        <v>2555554</v>
      </c>
    </row>
    <row r="23" spans="1:26" x14ac:dyDescent="0.25">
      <c r="A23" s="164" t="s">
        <v>119</v>
      </c>
      <c r="B23" s="165" t="s">
        <v>113</v>
      </c>
      <c r="C23" s="166" t="s">
        <v>120</v>
      </c>
      <c r="D23" s="220">
        <v>7203151</v>
      </c>
      <c r="E23" s="220">
        <v>0</v>
      </c>
      <c r="F23" s="220">
        <f t="shared" si="1"/>
        <v>7203151</v>
      </c>
      <c r="G23" s="221">
        <v>52</v>
      </c>
      <c r="H23" s="167">
        <v>27</v>
      </c>
      <c r="I23" s="168">
        <v>0</v>
      </c>
      <c r="J23" s="166">
        <v>27</v>
      </c>
      <c r="K23" s="169">
        <v>0</v>
      </c>
      <c r="L23" s="170">
        <v>0</v>
      </c>
      <c r="M23" s="169">
        <v>0</v>
      </c>
      <c r="N23" s="166">
        <v>0</v>
      </c>
      <c r="O23" s="222">
        <v>0</v>
      </c>
      <c r="P23" s="169">
        <v>0</v>
      </c>
      <c r="Q23" s="171">
        <f t="shared" si="2"/>
        <v>27</v>
      </c>
      <c r="R23" s="168">
        <v>0</v>
      </c>
      <c r="S23" s="170">
        <v>0</v>
      </c>
      <c r="T23" s="170">
        <v>0</v>
      </c>
      <c r="U23" s="170">
        <v>0</v>
      </c>
      <c r="V23" s="170">
        <v>0</v>
      </c>
      <c r="W23" s="168">
        <f t="shared" si="3"/>
        <v>27</v>
      </c>
      <c r="X23" s="228">
        <v>359.71600000000001</v>
      </c>
      <c r="Y23" s="220">
        <v>2612680.69</v>
      </c>
      <c r="Z23" s="220">
        <v>2396372</v>
      </c>
    </row>
    <row r="24" spans="1:26" x14ac:dyDescent="0.25">
      <c r="A24" s="164" t="s">
        <v>121</v>
      </c>
      <c r="B24" s="172" t="s">
        <v>113</v>
      </c>
      <c r="C24" s="173" t="s">
        <v>122</v>
      </c>
      <c r="D24" s="220">
        <v>18451054</v>
      </c>
      <c r="E24" s="220">
        <v>0</v>
      </c>
      <c r="F24" s="220">
        <f t="shared" si="1"/>
        <v>18451054</v>
      </c>
      <c r="G24" s="221">
        <v>0</v>
      </c>
      <c r="H24" s="167">
        <v>18.3</v>
      </c>
      <c r="I24" s="168">
        <v>5.5439999999999996</v>
      </c>
      <c r="J24" s="166">
        <v>12.756</v>
      </c>
      <c r="K24" s="169">
        <v>0</v>
      </c>
      <c r="L24" s="170">
        <v>0</v>
      </c>
      <c r="M24" s="169">
        <v>0</v>
      </c>
      <c r="N24" s="166">
        <v>0</v>
      </c>
      <c r="O24" s="222">
        <v>8.1300000000000008</v>
      </c>
      <c r="P24" s="169">
        <v>0</v>
      </c>
      <c r="Q24" s="171">
        <f t="shared" si="2"/>
        <v>20.886000000000003</v>
      </c>
      <c r="R24" s="168">
        <v>0</v>
      </c>
      <c r="S24" s="170">
        <v>0</v>
      </c>
      <c r="T24" s="170">
        <v>0</v>
      </c>
      <c r="U24" s="170">
        <v>0</v>
      </c>
      <c r="V24" s="170">
        <v>0</v>
      </c>
      <c r="W24" s="168">
        <f t="shared" si="3"/>
        <v>20.886000000000003</v>
      </c>
      <c r="X24" s="228">
        <v>52.936</v>
      </c>
      <c r="Y24" s="220">
        <v>997745.07</v>
      </c>
      <c r="Z24" s="220">
        <v>741315</v>
      </c>
    </row>
    <row r="25" spans="1:26" x14ac:dyDescent="0.25">
      <c r="A25" s="164" t="s">
        <v>123</v>
      </c>
      <c r="B25" s="165" t="s">
        <v>124</v>
      </c>
      <c r="C25" s="166" t="s">
        <v>125</v>
      </c>
      <c r="D25" s="220">
        <v>73819470</v>
      </c>
      <c r="E25" s="220">
        <v>0</v>
      </c>
      <c r="F25" s="220">
        <f t="shared" si="1"/>
        <v>73819470</v>
      </c>
      <c r="G25" s="221">
        <v>2262.25</v>
      </c>
      <c r="H25" s="167">
        <v>27</v>
      </c>
      <c r="I25" s="168">
        <v>5.5019999999999998</v>
      </c>
      <c r="J25" s="166">
        <v>21.498000000000001</v>
      </c>
      <c r="K25" s="169">
        <v>0</v>
      </c>
      <c r="L25" s="170">
        <v>0</v>
      </c>
      <c r="M25" s="169">
        <v>0</v>
      </c>
      <c r="N25" s="166">
        <v>0</v>
      </c>
      <c r="O25" s="222">
        <v>0</v>
      </c>
      <c r="P25" s="169">
        <v>0</v>
      </c>
      <c r="Q25" s="171">
        <f t="shared" si="2"/>
        <v>21.498000000000001</v>
      </c>
      <c r="R25" s="168">
        <v>0</v>
      </c>
      <c r="S25" s="170">
        <v>0</v>
      </c>
      <c r="T25" s="170">
        <v>0</v>
      </c>
      <c r="U25" s="170">
        <v>0</v>
      </c>
      <c r="V25" s="170">
        <v>0</v>
      </c>
      <c r="W25" s="168">
        <f t="shared" si="3"/>
        <v>21.498000000000001</v>
      </c>
      <c r="X25" s="228">
        <v>109.122</v>
      </c>
      <c r="Y25" s="220">
        <v>8173158.6299999999</v>
      </c>
      <c r="Z25" s="220">
        <v>6468175</v>
      </c>
    </row>
    <row r="26" spans="1:26" x14ac:dyDescent="0.25">
      <c r="A26" s="164" t="s">
        <v>126</v>
      </c>
      <c r="B26" s="165" t="s">
        <v>124</v>
      </c>
      <c r="C26" s="166" t="s">
        <v>127</v>
      </c>
      <c r="D26" s="220">
        <v>26572970</v>
      </c>
      <c r="E26" s="220">
        <v>0</v>
      </c>
      <c r="F26" s="220">
        <f t="shared" si="1"/>
        <v>26572970</v>
      </c>
      <c r="G26" s="221">
        <v>28353.33</v>
      </c>
      <c r="H26" s="167">
        <v>23.59</v>
      </c>
      <c r="I26" s="168">
        <v>2.6749999999999998</v>
      </c>
      <c r="J26" s="166">
        <v>20.914999999999999</v>
      </c>
      <c r="K26" s="169">
        <v>0</v>
      </c>
      <c r="L26" s="170">
        <v>0</v>
      </c>
      <c r="M26" s="169">
        <v>4.665</v>
      </c>
      <c r="N26" s="166">
        <v>0</v>
      </c>
      <c r="O26" s="222">
        <v>0</v>
      </c>
      <c r="P26" s="169">
        <v>0</v>
      </c>
      <c r="Q26" s="171">
        <f t="shared" si="2"/>
        <v>25.58</v>
      </c>
      <c r="R26" s="168">
        <v>0</v>
      </c>
      <c r="S26" s="170">
        <v>0</v>
      </c>
      <c r="T26" s="170">
        <v>0</v>
      </c>
      <c r="U26" s="170">
        <v>0</v>
      </c>
      <c r="V26" s="170">
        <v>0</v>
      </c>
      <c r="W26" s="168">
        <f t="shared" si="3"/>
        <v>25.58</v>
      </c>
      <c r="X26" s="228">
        <v>119.021</v>
      </c>
      <c r="Y26" s="220">
        <v>3261696.01</v>
      </c>
      <c r="Z26" s="220">
        <v>2645242</v>
      </c>
    </row>
    <row r="27" spans="1:26" x14ac:dyDescent="0.25">
      <c r="A27" s="164" t="s">
        <v>128</v>
      </c>
      <c r="B27" s="172" t="s">
        <v>129</v>
      </c>
      <c r="C27" s="173" t="s">
        <v>130</v>
      </c>
      <c r="D27" s="220">
        <v>5428112998</v>
      </c>
      <c r="E27" s="220">
        <v>-470302110</v>
      </c>
      <c r="F27" s="220">
        <f t="shared" si="1"/>
        <v>4957810888</v>
      </c>
      <c r="G27" s="221">
        <v>1359370.85</v>
      </c>
      <c r="H27" s="167">
        <v>27</v>
      </c>
      <c r="I27" s="168">
        <v>5.0000000000000001E-3</v>
      </c>
      <c r="J27" s="166">
        <v>26.995000000000001</v>
      </c>
      <c r="K27" s="169">
        <v>0</v>
      </c>
      <c r="L27" s="170">
        <v>0</v>
      </c>
      <c r="M27" s="169">
        <v>0</v>
      </c>
      <c r="N27" s="166">
        <v>0</v>
      </c>
      <c r="O27" s="222">
        <v>13.59</v>
      </c>
      <c r="P27" s="169">
        <v>0.25</v>
      </c>
      <c r="Q27" s="171">
        <f t="shared" si="2"/>
        <v>40.835000000000001</v>
      </c>
      <c r="R27" s="168">
        <v>17.55</v>
      </c>
      <c r="S27" s="170">
        <v>0</v>
      </c>
      <c r="T27" s="170">
        <v>0</v>
      </c>
      <c r="U27" s="170">
        <v>0</v>
      </c>
      <c r="V27" s="170">
        <v>0</v>
      </c>
      <c r="W27" s="168">
        <f t="shared" si="3"/>
        <v>40.835000000000001</v>
      </c>
      <c r="X27" s="228">
        <v>60.265999999999998</v>
      </c>
      <c r="Y27" s="220">
        <v>304443239.94999999</v>
      </c>
      <c r="Z27" s="220">
        <v>153800340</v>
      </c>
    </row>
    <row r="28" spans="1:26" x14ac:dyDescent="0.25">
      <c r="A28" s="179" t="s">
        <v>131</v>
      </c>
      <c r="B28" s="172" t="s">
        <v>129</v>
      </c>
      <c r="C28" s="173" t="s">
        <v>129</v>
      </c>
      <c r="D28" s="220">
        <v>7896751257</v>
      </c>
      <c r="E28" s="220">
        <v>-104322672</v>
      </c>
      <c r="F28" s="220">
        <f t="shared" si="1"/>
        <v>7792428585</v>
      </c>
      <c r="G28" s="221">
        <v>1385359.49</v>
      </c>
      <c r="H28" s="167">
        <v>27</v>
      </c>
      <c r="I28" s="168">
        <v>0</v>
      </c>
      <c r="J28" s="166">
        <v>27</v>
      </c>
      <c r="K28" s="169">
        <v>0</v>
      </c>
      <c r="L28" s="170">
        <v>0</v>
      </c>
      <c r="M28" s="169">
        <v>0</v>
      </c>
      <c r="N28" s="166">
        <v>0</v>
      </c>
      <c r="O28" s="222">
        <v>9.8049999999999997</v>
      </c>
      <c r="P28" s="169">
        <v>0.17799999999999999</v>
      </c>
      <c r="Q28" s="171">
        <f t="shared" si="2"/>
        <v>36.982999999999997</v>
      </c>
      <c r="R28" s="168">
        <v>9.15</v>
      </c>
      <c r="S28" s="170">
        <v>0.93700000000000006</v>
      </c>
      <c r="T28" s="170">
        <v>0</v>
      </c>
      <c r="U28" s="170">
        <v>4</v>
      </c>
      <c r="V28" s="170">
        <v>0</v>
      </c>
      <c r="W28" s="168">
        <f t="shared" si="3"/>
        <v>41.919999999999995</v>
      </c>
      <c r="X28" s="228">
        <v>34.835000000000001</v>
      </c>
      <c r="Y28" s="220">
        <v>283463415.39999998</v>
      </c>
      <c r="Z28" s="220">
        <v>61083444</v>
      </c>
    </row>
    <row r="29" spans="1:26" x14ac:dyDescent="0.25">
      <c r="A29" s="165" t="s">
        <v>132</v>
      </c>
      <c r="B29" s="172" t="s">
        <v>133</v>
      </c>
      <c r="C29" s="173" t="s">
        <v>134</v>
      </c>
      <c r="D29" s="220">
        <v>285376860</v>
      </c>
      <c r="E29" s="220">
        <v>0</v>
      </c>
      <c r="F29" s="220">
        <f t="shared" si="1"/>
        <v>285376860</v>
      </c>
      <c r="G29" s="221">
        <v>10783.21</v>
      </c>
      <c r="H29" s="167">
        <v>23.149000000000001</v>
      </c>
      <c r="I29" s="168">
        <v>5.1669999999999998</v>
      </c>
      <c r="J29" s="166">
        <v>17.981999999999999</v>
      </c>
      <c r="K29" s="169">
        <v>0</v>
      </c>
      <c r="L29" s="170">
        <v>0</v>
      </c>
      <c r="M29" s="169">
        <v>0</v>
      </c>
      <c r="N29" s="166">
        <v>0</v>
      </c>
      <c r="O29" s="222">
        <v>9.31</v>
      </c>
      <c r="P29" s="169">
        <v>3.7999999999999999E-2</v>
      </c>
      <c r="Q29" s="171">
        <f t="shared" si="2"/>
        <v>27.330000000000002</v>
      </c>
      <c r="R29" s="168">
        <v>8.6210000000000004</v>
      </c>
      <c r="S29" s="170">
        <v>0</v>
      </c>
      <c r="T29" s="170">
        <v>0</v>
      </c>
      <c r="U29" s="170">
        <v>0</v>
      </c>
      <c r="V29" s="170">
        <v>0</v>
      </c>
      <c r="W29" s="168">
        <f t="shared" si="3"/>
        <v>27.330000000000002</v>
      </c>
      <c r="X29" s="228">
        <v>34.262</v>
      </c>
      <c r="Y29" s="220">
        <v>10241530.539999999</v>
      </c>
      <c r="Z29" s="220">
        <v>4635644</v>
      </c>
    </row>
    <row r="30" spans="1:26" x14ac:dyDescent="0.25">
      <c r="A30" s="164" t="s">
        <v>135</v>
      </c>
      <c r="B30" s="165" t="s">
        <v>133</v>
      </c>
      <c r="C30" s="166" t="s">
        <v>136</v>
      </c>
      <c r="D30" s="220">
        <v>347511598</v>
      </c>
      <c r="E30" s="220">
        <v>0</v>
      </c>
      <c r="F30" s="220">
        <f t="shared" si="1"/>
        <v>347511598</v>
      </c>
      <c r="G30" s="221">
        <v>4842.53</v>
      </c>
      <c r="H30" s="167">
        <v>24.792999999999999</v>
      </c>
      <c r="I30" s="168">
        <v>8.1</v>
      </c>
      <c r="J30" s="166">
        <v>16.693000000000001</v>
      </c>
      <c r="K30" s="169">
        <v>0</v>
      </c>
      <c r="L30" s="170">
        <v>0</v>
      </c>
      <c r="M30" s="169">
        <v>0</v>
      </c>
      <c r="N30" s="166">
        <v>0</v>
      </c>
      <c r="O30" s="222">
        <v>6.7389999999999999</v>
      </c>
      <c r="P30" s="169">
        <v>1.4E-2</v>
      </c>
      <c r="Q30" s="171">
        <f t="shared" si="2"/>
        <v>23.446000000000002</v>
      </c>
      <c r="R30" s="168">
        <v>5.6120000000000001</v>
      </c>
      <c r="S30" s="170">
        <v>0</v>
      </c>
      <c r="T30" s="170">
        <v>0</v>
      </c>
      <c r="U30" s="170">
        <v>0</v>
      </c>
      <c r="V30" s="170">
        <v>0</v>
      </c>
      <c r="W30" s="168">
        <f t="shared" si="3"/>
        <v>23.446000000000002</v>
      </c>
      <c r="X30" s="228">
        <v>38.369999999999997</v>
      </c>
      <c r="Y30" s="220">
        <v>13914545.619999999</v>
      </c>
      <c r="Z30" s="220">
        <v>7546817</v>
      </c>
    </row>
    <row r="31" spans="1:26" x14ac:dyDescent="0.25">
      <c r="A31" s="164" t="s">
        <v>137</v>
      </c>
      <c r="B31" s="165" t="s">
        <v>138</v>
      </c>
      <c r="C31" s="166" t="s">
        <v>139</v>
      </c>
      <c r="D31" s="220">
        <v>48231050</v>
      </c>
      <c r="E31" s="220">
        <v>0</v>
      </c>
      <c r="F31" s="220">
        <f t="shared" si="1"/>
        <v>48231050</v>
      </c>
      <c r="G31" s="221">
        <v>64.27</v>
      </c>
      <c r="H31" s="167">
        <v>17.88</v>
      </c>
      <c r="I31" s="168">
        <v>8.0660000000000007</v>
      </c>
      <c r="J31" s="166">
        <v>9.8140000000000001</v>
      </c>
      <c r="K31" s="169">
        <v>0</v>
      </c>
      <c r="L31" s="170">
        <v>0</v>
      </c>
      <c r="M31" s="169">
        <v>1.522</v>
      </c>
      <c r="N31" s="166">
        <v>0</v>
      </c>
      <c r="O31" s="222">
        <v>7.2569999999999997</v>
      </c>
      <c r="P31" s="169">
        <v>1E-3</v>
      </c>
      <c r="Q31" s="171">
        <f t="shared" si="2"/>
        <v>18.594000000000001</v>
      </c>
      <c r="R31" s="168">
        <v>12.750999999999999</v>
      </c>
      <c r="S31" s="170">
        <v>0</v>
      </c>
      <c r="T31" s="170">
        <v>0</v>
      </c>
      <c r="U31" s="170">
        <v>0</v>
      </c>
      <c r="V31" s="170">
        <v>0</v>
      </c>
      <c r="W31" s="168">
        <f t="shared" si="3"/>
        <v>18.594000000000001</v>
      </c>
      <c r="X31" s="228">
        <v>36.933</v>
      </c>
      <c r="Y31" s="220">
        <v>1831391.78</v>
      </c>
      <c r="Z31" s="220">
        <v>1308383</v>
      </c>
    </row>
    <row r="32" spans="1:26" x14ac:dyDescent="0.25">
      <c r="A32" s="164" t="s">
        <v>140</v>
      </c>
      <c r="B32" s="165" t="s">
        <v>138</v>
      </c>
      <c r="C32" s="166" t="s">
        <v>138</v>
      </c>
      <c r="D32" s="220">
        <v>94259412</v>
      </c>
      <c r="E32" s="220">
        <v>0</v>
      </c>
      <c r="F32" s="220">
        <f t="shared" si="1"/>
        <v>94259412</v>
      </c>
      <c r="G32" s="221">
        <v>1901.81</v>
      </c>
      <c r="H32" s="167">
        <v>15.558</v>
      </c>
      <c r="I32" s="168">
        <v>6.8840000000000003</v>
      </c>
      <c r="J32" s="166">
        <v>8.6739999999999995</v>
      </c>
      <c r="K32" s="169">
        <v>0</v>
      </c>
      <c r="L32" s="170">
        <v>0</v>
      </c>
      <c r="M32" s="169">
        <v>0</v>
      </c>
      <c r="N32" s="166">
        <v>0</v>
      </c>
      <c r="O32" s="222">
        <v>8.4120000000000008</v>
      </c>
      <c r="P32" s="169">
        <v>0</v>
      </c>
      <c r="Q32" s="171">
        <f t="shared" si="2"/>
        <v>17.085999999999999</v>
      </c>
      <c r="R32" s="168">
        <v>0</v>
      </c>
      <c r="S32" s="170">
        <v>0</v>
      </c>
      <c r="T32" s="170">
        <v>0</v>
      </c>
      <c r="U32" s="170">
        <v>0</v>
      </c>
      <c r="V32" s="170">
        <v>0</v>
      </c>
      <c r="W32" s="168">
        <f t="shared" si="3"/>
        <v>17.085999999999999</v>
      </c>
      <c r="X32" s="228">
        <v>30.532</v>
      </c>
      <c r="Y32" s="220">
        <v>2944026.54</v>
      </c>
      <c r="Z32" s="220">
        <v>2061700</v>
      </c>
    </row>
    <row r="33" spans="1:26" x14ac:dyDescent="0.25">
      <c r="A33" s="164" t="s">
        <v>141</v>
      </c>
      <c r="B33" s="165" t="s">
        <v>142</v>
      </c>
      <c r="C33" s="166" t="s">
        <v>142</v>
      </c>
      <c r="D33" s="220">
        <v>311995840</v>
      </c>
      <c r="E33" s="220">
        <v>0</v>
      </c>
      <c r="F33" s="220">
        <f t="shared" si="1"/>
        <v>311995840</v>
      </c>
      <c r="G33" s="221">
        <v>10685.38</v>
      </c>
      <c r="H33" s="167">
        <v>12.484999999999999</v>
      </c>
      <c r="I33" s="168">
        <v>0</v>
      </c>
      <c r="J33" s="166">
        <v>12.484999999999999</v>
      </c>
      <c r="K33" s="169">
        <v>0</v>
      </c>
      <c r="L33" s="170">
        <v>0</v>
      </c>
      <c r="M33" s="169">
        <v>0</v>
      </c>
      <c r="N33" s="166">
        <v>0</v>
      </c>
      <c r="O33" s="222">
        <v>8.8539999999999992</v>
      </c>
      <c r="P33" s="169">
        <v>3.4000000000000002E-2</v>
      </c>
      <c r="Q33" s="171">
        <f t="shared" si="2"/>
        <v>21.372999999999998</v>
      </c>
      <c r="R33" s="168">
        <v>8.23</v>
      </c>
      <c r="S33" s="170">
        <v>0</v>
      </c>
      <c r="T33" s="170">
        <v>0</v>
      </c>
      <c r="U33" s="170">
        <v>0</v>
      </c>
      <c r="V33" s="170">
        <v>0</v>
      </c>
      <c r="W33" s="168">
        <f t="shared" si="3"/>
        <v>21.372999999999998</v>
      </c>
      <c r="X33" s="228">
        <v>22.085000000000001</v>
      </c>
      <c r="Y33" s="220">
        <v>7255852.0599999996</v>
      </c>
      <c r="Z33" s="220">
        <v>2996840</v>
      </c>
    </row>
    <row r="34" spans="1:26" x14ac:dyDescent="0.25">
      <c r="A34" s="164" t="s">
        <v>143</v>
      </c>
      <c r="B34" s="165" t="s">
        <v>144</v>
      </c>
      <c r="C34" s="166" t="s">
        <v>145</v>
      </c>
      <c r="D34" s="220">
        <v>39778042</v>
      </c>
      <c r="E34" s="220">
        <v>0</v>
      </c>
      <c r="F34" s="220">
        <f t="shared" si="1"/>
        <v>39778042</v>
      </c>
      <c r="G34" s="221">
        <v>2418</v>
      </c>
      <c r="H34" s="167">
        <v>23.405999999999999</v>
      </c>
      <c r="I34" s="168">
        <v>4.2830000000000004</v>
      </c>
      <c r="J34" s="166">
        <v>19.123000000000001</v>
      </c>
      <c r="K34" s="169">
        <v>0</v>
      </c>
      <c r="L34" s="170">
        <v>0</v>
      </c>
      <c r="M34" s="169">
        <v>4.7729999999999997</v>
      </c>
      <c r="N34" s="166">
        <v>0</v>
      </c>
      <c r="O34" s="222">
        <v>0</v>
      </c>
      <c r="P34" s="169">
        <v>6.0999999999999999E-2</v>
      </c>
      <c r="Q34" s="171">
        <f t="shared" si="2"/>
        <v>23.957000000000001</v>
      </c>
      <c r="R34" s="168">
        <v>10.055999999999999</v>
      </c>
      <c r="S34" s="170">
        <v>0</v>
      </c>
      <c r="T34" s="170">
        <v>0</v>
      </c>
      <c r="U34" s="170">
        <v>0</v>
      </c>
      <c r="V34" s="170">
        <v>0</v>
      </c>
      <c r="W34" s="168">
        <f t="shared" si="3"/>
        <v>23.957000000000001</v>
      </c>
      <c r="X34" s="228">
        <v>258.99299999999999</v>
      </c>
      <c r="Y34" s="220">
        <v>10474934.390000001</v>
      </c>
      <c r="Z34" s="220">
        <v>9564413</v>
      </c>
    </row>
    <row r="35" spans="1:26" x14ac:dyDescent="0.25">
      <c r="A35" s="164" t="s">
        <v>146</v>
      </c>
      <c r="B35" s="165" t="s">
        <v>144</v>
      </c>
      <c r="C35" s="165" t="s">
        <v>147</v>
      </c>
      <c r="D35" s="220">
        <v>10758151</v>
      </c>
      <c r="E35" s="220">
        <v>0</v>
      </c>
      <c r="F35" s="220">
        <f t="shared" si="1"/>
        <v>10758151</v>
      </c>
      <c r="G35" s="221">
        <v>729</v>
      </c>
      <c r="H35" s="167">
        <v>27</v>
      </c>
      <c r="I35" s="168">
        <v>0</v>
      </c>
      <c r="J35" s="166">
        <v>27</v>
      </c>
      <c r="K35" s="169">
        <v>0</v>
      </c>
      <c r="L35" s="170">
        <v>0</v>
      </c>
      <c r="M35" s="169">
        <v>0</v>
      </c>
      <c r="N35" s="166">
        <v>0</v>
      </c>
      <c r="O35" s="222">
        <v>0</v>
      </c>
      <c r="P35" s="169">
        <v>6.8000000000000005E-2</v>
      </c>
      <c r="Q35" s="171">
        <f t="shared" si="2"/>
        <v>27.068000000000001</v>
      </c>
      <c r="R35" s="168">
        <v>8.2469999999999999</v>
      </c>
      <c r="S35" s="170">
        <v>0</v>
      </c>
      <c r="T35" s="170">
        <v>0</v>
      </c>
      <c r="U35" s="170">
        <v>0</v>
      </c>
      <c r="V35" s="170">
        <v>0</v>
      </c>
      <c r="W35" s="168">
        <f t="shared" si="3"/>
        <v>27.068000000000001</v>
      </c>
      <c r="X35" s="228">
        <v>403.23899999999998</v>
      </c>
      <c r="Y35" s="220">
        <v>4387940.42</v>
      </c>
      <c r="Z35" s="220">
        <v>4048593</v>
      </c>
    </row>
    <row r="36" spans="1:26" x14ac:dyDescent="0.25">
      <c r="A36" s="164" t="s">
        <v>148</v>
      </c>
      <c r="B36" s="165" t="s">
        <v>144</v>
      </c>
      <c r="C36" s="166" t="s">
        <v>149</v>
      </c>
      <c r="D36" s="220">
        <v>34514743</v>
      </c>
      <c r="E36" s="220">
        <v>0</v>
      </c>
      <c r="F36" s="220">
        <f t="shared" si="1"/>
        <v>34514743</v>
      </c>
      <c r="G36" s="221">
        <v>2093</v>
      </c>
      <c r="H36" s="167">
        <v>27</v>
      </c>
      <c r="I36" s="168">
        <v>6.2119999999999997</v>
      </c>
      <c r="J36" s="166">
        <v>20.788</v>
      </c>
      <c r="K36" s="169">
        <v>0</v>
      </c>
      <c r="L36" s="170">
        <v>0</v>
      </c>
      <c r="M36" s="169">
        <v>0</v>
      </c>
      <c r="N36" s="166">
        <v>0</v>
      </c>
      <c r="O36" s="222">
        <v>0</v>
      </c>
      <c r="P36" s="169">
        <v>6.0999999999999999E-2</v>
      </c>
      <c r="Q36" s="171">
        <f t="shared" si="2"/>
        <v>20.849</v>
      </c>
      <c r="R36" s="168">
        <v>15.066000000000001</v>
      </c>
      <c r="S36" s="170">
        <v>0</v>
      </c>
      <c r="T36" s="170">
        <v>0</v>
      </c>
      <c r="U36" s="170">
        <v>0</v>
      </c>
      <c r="V36" s="170">
        <v>0</v>
      </c>
      <c r="W36" s="168">
        <f t="shared" si="3"/>
        <v>20.849</v>
      </c>
      <c r="X36" s="228">
        <v>76.334000000000003</v>
      </c>
      <c r="Y36" s="220">
        <v>2746300.46</v>
      </c>
      <c r="Z36" s="220">
        <v>1919421</v>
      </c>
    </row>
    <row r="37" spans="1:26" x14ac:dyDescent="0.25">
      <c r="A37" s="164" t="s">
        <v>150</v>
      </c>
      <c r="B37" s="172" t="s">
        <v>151</v>
      </c>
      <c r="C37" s="173" t="s">
        <v>152</v>
      </c>
      <c r="D37" s="220">
        <v>56436730</v>
      </c>
      <c r="E37" s="220">
        <v>0</v>
      </c>
      <c r="F37" s="220">
        <f t="shared" si="1"/>
        <v>56436730</v>
      </c>
      <c r="G37" s="221">
        <v>1848.15</v>
      </c>
      <c r="H37" s="167">
        <v>27</v>
      </c>
      <c r="I37" s="168">
        <v>8.7200000000000006</v>
      </c>
      <c r="J37" s="166">
        <v>18.28</v>
      </c>
      <c r="K37" s="169">
        <v>0</v>
      </c>
      <c r="L37" s="170">
        <v>0</v>
      </c>
      <c r="M37" s="169">
        <v>0</v>
      </c>
      <c r="N37" s="166">
        <v>0</v>
      </c>
      <c r="O37" s="222">
        <v>0</v>
      </c>
      <c r="P37" s="169">
        <v>3.3000000000000002E-2</v>
      </c>
      <c r="Q37" s="171">
        <f t="shared" si="2"/>
        <v>18.313000000000002</v>
      </c>
      <c r="R37" s="168">
        <v>8.3089999999999993</v>
      </c>
      <c r="S37" s="170">
        <v>0</v>
      </c>
      <c r="T37" s="170">
        <v>0</v>
      </c>
      <c r="U37" s="170">
        <v>0</v>
      </c>
      <c r="V37" s="170">
        <v>0</v>
      </c>
      <c r="W37" s="168">
        <f t="shared" si="3"/>
        <v>18.313000000000002</v>
      </c>
      <c r="X37" s="228">
        <v>58.183999999999997</v>
      </c>
      <c r="Y37" s="220">
        <v>3329167.58</v>
      </c>
      <c r="Z37" s="220">
        <v>2231016</v>
      </c>
    </row>
    <row r="38" spans="1:26" x14ac:dyDescent="0.25">
      <c r="A38" s="164" t="s">
        <v>153</v>
      </c>
      <c r="B38" s="165" t="s">
        <v>151</v>
      </c>
      <c r="C38" s="166" t="s">
        <v>154</v>
      </c>
      <c r="D38" s="220">
        <v>70193205</v>
      </c>
      <c r="E38" s="220">
        <v>0</v>
      </c>
      <c r="F38" s="220">
        <f t="shared" si="1"/>
        <v>70193205</v>
      </c>
      <c r="G38" s="221">
        <v>70599.97</v>
      </c>
      <c r="H38" s="167">
        <v>27</v>
      </c>
      <c r="I38" s="168">
        <v>0</v>
      </c>
      <c r="J38" s="166">
        <v>27</v>
      </c>
      <c r="K38" s="169">
        <v>0</v>
      </c>
      <c r="L38" s="170">
        <v>0</v>
      </c>
      <c r="M38" s="169">
        <v>0</v>
      </c>
      <c r="N38" s="166">
        <v>0</v>
      </c>
      <c r="O38" s="222">
        <v>5.4850000000000003</v>
      </c>
      <c r="P38" s="169">
        <v>1.006</v>
      </c>
      <c r="Q38" s="171">
        <f t="shared" si="2"/>
        <v>33.491</v>
      </c>
      <c r="R38" s="168">
        <v>15.678000000000001</v>
      </c>
      <c r="S38" s="170">
        <v>0</v>
      </c>
      <c r="T38" s="170">
        <v>0</v>
      </c>
      <c r="U38" s="170">
        <v>0</v>
      </c>
      <c r="V38" s="170">
        <v>0</v>
      </c>
      <c r="W38" s="168">
        <f t="shared" si="3"/>
        <v>33.491</v>
      </c>
      <c r="X38" s="228">
        <v>52.03</v>
      </c>
      <c r="Y38" s="220">
        <v>3727154.18</v>
      </c>
      <c r="Z38" s="220">
        <v>1747938</v>
      </c>
    </row>
    <row r="39" spans="1:26" x14ac:dyDescent="0.25">
      <c r="A39" s="164" t="s">
        <v>155</v>
      </c>
      <c r="B39" s="165" t="s">
        <v>156</v>
      </c>
      <c r="C39" s="166" t="s">
        <v>156</v>
      </c>
      <c r="D39" s="220">
        <v>57461454</v>
      </c>
      <c r="E39" s="220">
        <v>0</v>
      </c>
      <c r="F39" s="220">
        <f t="shared" si="1"/>
        <v>57461454</v>
      </c>
      <c r="G39" s="221">
        <v>0</v>
      </c>
      <c r="H39" s="167">
        <v>27</v>
      </c>
      <c r="I39" s="168">
        <v>8.5510000000000002</v>
      </c>
      <c r="J39" s="166">
        <v>18.449000000000002</v>
      </c>
      <c r="K39" s="169">
        <v>0</v>
      </c>
      <c r="L39" s="170">
        <v>0</v>
      </c>
      <c r="M39" s="169">
        <v>0</v>
      </c>
      <c r="N39" s="166">
        <v>0</v>
      </c>
      <c r="O39" s="222">
        <v>6</v>
      </c>
      <c r="P39" s="169">
        <v>0</v>
      </c>
      <c r="Q39" s="171">
        <f t="shared" si="2"/>
        <v>24.449000000000002</v>
      </c>
      <c r="R39" s="168">
        <v>0</v>
      </c>
      <c r="S39" s="170">
        <v>0</v>
      </c>
      <c r="T39" s="170">
        <v>0</v>
      </c>
      <c r="U39" s="170">
        <v>0</v>
      </c>
      <c r="V39" s="170">
        <v>0</v>
      </c>
      <c r="W39" s="168">
        <f t="shared" si="3"/>
        <v>24.449000000000002</v>
      </c>
      <c r="X39" s="228">
        <v>82.335999999999999</v>
      </c>
      <c r="Y39" s="220">
        <v>4853084</v>
      </c>
      <c r="Z39" s="220">
        <v>3686349</v>
      </c>
    </row>
    <row r="40" spans="1:26" x14ac:dyDescent="0.25">
      <c r="A40" s="164" t="s">
        <v>157</v>
      </c>
      <c r="B40" s="165" t="s">
        <v>158</v>
      </c>
      <c r="C40" s="165" t="s">
        <v>159</v>
      </c>
      <c r="D40" s="220">
        <v>121167270</v>
      </c>
      <c r="E40" s="220">
        <v>0</v>
      </c>
      <c r="F40" s="220">
        <f t="shared" si="1"/>
        <v>121167270</v>
      </c>
      <c r="G40" s="221">
        <v>4163.8599999999997</v>
      </c>
      <c r="H40" s="167">
        <v>27</v>
      </c>
      <c r="I40" s="168">
        <v>2.097</v>
      </c>
      <c r="J40" s="166">
        <v>24.902999999999999</v>
      </c>
      <c r="K40" s="169">
        <v>0</v>
      </c>
      <c r="L40" s="170">
        <v>0</v>
      </c>
      <c r="M40" s="169">
        <v>0</v>
      </c>
      <c r="N40" s="166">
        <v>0</v>
      </c>
      <c r="O40" s="222">
        <v>0</v>
      </c>
      <c r="P40" s="169">
        <v>3.4000000000000002E-2</v>
      </c>
      <c r="Q40" s="171">
        <f t="shared" si="2"/>
        <v>24.936999999999998</v>
      </c>
      <c r="R40" s="168">
        <v>4.9569999999999999</v>
      </c>
      <c r="S40" s="170">
        <v>0</v>
      </c>
      <c r="T40" s="170">
        <v>0</v>
      </c>
      <c r="U40" s="170">
        <v>0</v>
      </c>
      <c r="V40" s="170">
        <v>0</v>
      </c>
      <c r="W40" s="168">
        <f t="shared" si="3"/>
        <v>24.936999999999998</v>
      </c>
      <c r="X40" s="228">
        <v>33.402000000000001</v>
      </c>
      <c r="Y40" s="220">
        <v>4445684.7699999996</v>
      </c>
      <c r="Z40" s="220">
        <v>1029498</v>
      </c>
    </row>
    <row r="41" spans="1:26" x14ac:dyDescent="0.25">
      <c r="A41" s="164" t="s">
        <v>160</v>
      </c>
      <c r="B41" s="172" t="s">
        <v>161</v>
      </c>
      <c r="C41" s="172" t="s">
        <v>161</v>
      </c>
      <c r="D41" s="220">
        <v>436264159</v>
      </c>
      <c r="E41" s="220">
        <v>-617720</v>
      </c>
      <c r="F41" s="220">
        <f t="shared" si="1"/>
        <v>435646439</v>
      </c>
      <c r="G41" s="221">
        <v>14482.6</v>
      </c>
      <c r="H41" s="167">
        <v>27</v>
      </c>
      <c r="I41" s="168">
        <v>2.3439999999999999</v>
      </c>
      <c r="J41" s="166">
        <v>24.655999999999999</v>
      </c>
      <c r="K41" s="169">
        <v>0</v>
      </c>
      <c r="L41" s="170">
        <v>0</v>
      </c>
      <c r="M41" s="169">
        <v>0</v>
      </c>
      <c r="N41" s="166">
        <v>0</v>
      </c>
      <c r="O41" s="222">
        <v>0</v>
      </c>
      <c r="P41" s="169">
        <v>3.3000000000000002E-2</v>
      </c>
      <c r="Q41" s="171">
        <f t="shared" si="2"/>
        <v>24.689</v>
      </c>
      <c r="R41" s="168">
        <v>4.4240000000000004</v>
      </c>
      <c r="S41" s="170">
        <v>0</v>
      </c>
      <c r="T41" s="170">
        <v>0</v>
      </c>
      <c r="U41" s="170">
        <v>0</v>
      </c>
      <c r="V41" s="170">
        <v>0</v>
      </c>
      <c r="W41" s="168">
        <f t="shared" si="3"/>
        <v>24.689</v>
      </c>
      <c r="X41" s="228">
        <v>98.025000000000006</v>
      </c>
      <c r="Y41" s="220">
        <v>43969743.049999997</v>
      </c>
      <c r="Z41" s="220">
        <v>31806028</v>
      </c>
    </row>
    <row r="42" spans="1:26" x14ac:dyDescent="0.25">
      <c r="A42" s="179" t="s">
        <v>162</v>
      </c>
      <c r="B42" s="165" t="s">
        <v>163</v>
      </c>
      <c r="C42" s="166" t="s">
        <v>163</v>
      </c>
      <c r="D42" s="220">
        <v>23235806840</v>
      </c>
      <c r="E42" s="220">
        <v>-1470082495</v>
      </c>
      <c r="F42" s="220">
        <f t="shared" si="1"/>
        <v>21765724345</v>
      </c>
      <c r="G42" s="221">
        <v>41546092</v>
      </c>
      <c r="H42" s="167">
        <v>27</v>
      </c>
      <c r="I42" s="168">
        <v>0</v>
      </c>
      <c r="J42" s="166">
        <v>27</v>
      </c>
      <c r="K42" s="169">
        <v>0</v>
      </c>
      <c r="L42" s="170">
        <v>0</v>
      </c>
      <c r="M42" s="169">
        <v>0</v>
      </c>
      <c r="N42" s="166">
        <v>0</v>
      </c>
      <c r="O42" s="222">
        <v>11.208</v>
      </c>
      <c r="P42" s="169">
        <v>1.1830000000000001</v>
      </c>
      <c r="Q42" s="171">
        <f t="shared" si="2"/>
        <v>39.390999999999998</v>
      </c>
      <c r="R42" s="168">
        <v>9.843</v>
      </c>
      <c r="S42" s="170">
        <v>0</v>
      </c>
      <c r="T42" s="170">
        <v>2.3450000000000002</v>
      </c>
      <c r="U42" s="170">
        <v>0</v>
      </c>
      <c r="V42" s="170">
        <v>0</v>
      </c>
      <c r="W42" s="168">
        <f t="shared" si="3"/>
        <v>41.735999999999997</v>
      </c>
      <c r="X42" s="228">
        <v>40.637999999999998</v>
      </c>
      <c r="Y42" s="220">
        <v>915418317.79999995</v>
      </c>
      <c r="Z42" s="220">
        <v>296871218</v>
      </c>
    </row>
    <row r="43" spans="1:26" x14ac:dyDescent="0.25">
      <c r="A43" s="164" t="s">
        <v>164</v>
      </c>
      <c r="B43" s="174" t="s">
        <v>165</v>
      </c>
      <c r="C43" s="175" t="s">
        <v>165</v>
      </c>
      <c r="D43" s="220">
        <v>99073283</v>
      </c>
      <c r="E43" s="220">
        <v>0</v>
      </c>
      <c r="F43" s="220">
        <f t="shared" si="1"/>
        <v>99073283</v>
      </c>
      <c r="G43" s="221">
        <v>308.41999999999996</v>
      </c>
      <c r="H43" s="167">
        <v>18.684999999999999</v>
      </c>
      <c r="I43" s="168">
        <v>1.1259999999999999</v>
      </c>
      <c r="J43" s="166">
        <v>17.559000000000001</v>
      </c>
      <c r="K43" s="169">
        <v>0</v>
      </c>
      <c r="L43" s="170">
        <v>0</v>
      </c>
      <c r="M43" s="169">
        <v>0</v>
      </c>
      <c r="N43" s="166">
        <v>0</v>
      </c>
      <c r="O43" s="222">
        <v>3</v>
      </c>
      <c r="P43" s="169">
        <v>3.0000000000000001E-3</v>
      </c>
      <c r="Q43" s="171">
        <f t="shared" si="2"/>
        <v>20.562000000000001</v>
      </c>
      <c r="R43" s="168">
        <v>8.7309999999999999</v>
      </c>
      <c r="S43" s="170">
        <v>0</v>
      </c>
      <c r="T43" s="170">
        <v>0</v>
      </c>
      <c r="U43" s="170">
        <v>0</v>
      </c>
      <c r="V43" s="170">
        <v>0</v>
      </c>
      <c r="W43" s="168">
        <f t="shared" si="3"/>
        <v>20.562000000000001</v>
      </c>
      <c r="X43" s="228">
        <v>35.616</v>
      </c>
      <c r="Y43" s="220">
        <v>3670950.9</v>
      </c>
      <c r="Z43" s="220">
        <v>1795726</v>
      </c>
    </row>
    <row r="44" spans="1:26" x14ac:dyDescent="0.25">
      <c r="A44" s="164" t="s">
        <v>166</v>
      </c>
      <c r="B44" s="165" t="s">
        <v>167</v>
      </c>
      <c r="C44" s="166" t="s">
        <v>167</v>
      </c>
      <c r="D44" s="220">
        <v>8223911298</v>
      </c>
      <c r="E44" s="220">
        <v>-79310754</v>
      </c>
      <c r="F44" s="220">
        <f t="shared" si="1"/>
        <v>8144600544</v>
      </c>
      <c r="G44" s="221">
        <v>703422.77</v>
      </c>
      <c r="H44" s="167">
        <v>27</v>
      </c>
      <c r="I44" s="168">
        <v>0</v>
      </c>
      <c r="J44" s="166">
        <v>27</v>
      </c>
      <c r="K44" s="169">
        <v>0</v>
      </c>
      <c r="L44" s="170">
        <v>0</v>
      </c>
      <c r="M44" s="169">
        <v>0</v>
      </c>
      <c r="N44" s="166">
        <v>0</v>
      </c>
      <c r="O44" s="222">
        <v>9.0500000000000007</v>
      </c>
      <c r="P44" s="169">
        <v>8.5999999999999993E-2</v>
      </c>
      <c r="Q44" s="171">
        <f t="shared" si="2"/>
        <v>36.135999999999996</v>
      </c>
      <c r="R44" s="168">
        <v>6.7</v>
      </c>
      <c r="S44" s="170">
        <v>0</v>
      </c>
      <c r="T44" s="170">
        <v>0</v>
      </c>
      <c r="U44" s="170">
        <v>0</v>
      </c>
      <c r="V44" s="170">
        <v>0</v>
      </c>
      <c r="W44" s="168">
        <f t="shared" si="3"/>
        <v>36.135999999999996</v>
      </c>
      <c r="X44" s="228">
        <v>74.132000000000005</v>
      </c>
      <c r="Y44" s="220">
        <v>623723794.23000002</v>
      </c>
      <c r="Z44" s="220">
        <v>384413658</v>
      </c>
    </row>
    <row r="45" spans="1:26" x14ac:dyDescent="0.25">
      <c r="A45" s="164" t="s">
        <v>168</v>
      </c>
      <c r="B45" s="165" t="s">
        <v>169</v>
      </c>
      <c r="C45" s="166" t="s">
        <v>169</v>
      </c>
      <c r="D45" s="220">
        <v>3371225270</v>
      </c>
      <c r="E45" s="220">
        <v>-136046480</v>
      </c>
      <c r="F45" s="220">
        <f t="shared" si="1"/>
        <v>3235178790</v>
      </c>
      <c r="G45" s="221">
        <v>113447.03</v>
      </c>
      <c r="H45" s="167">
        <v>12.138</v>
      </c>
      <c r="I45" s="168">
        <v>0</v>
      </c>
      <c r="J45" s="166">
        <v>12.138</v>
      </c>
      <c r="K45" s="169">
        <v>0</v>
      </c>
      <c r="L45" s="170">
        <v>0</v>
      </c>
      <c r="M45" s="169">
        <v>0.65400000000000003</v>
      </c>
      <c r="N45" s="166">
        <v>0</v>
      </c>
      <c r="O45" s="222">
        <v>4.7409999999999997</v>
      </c>
      <c r="P45" s="169">
        <v>4.4999999999999998E-2</v>
      </c>
      <c r="Q45" s="171">
        <f t="shared" si="2"/>
        <v>17.578000000000003</v>
      </c>
      <c r="R45" s="168">
        <v>6.6449999999999996</v>
      </c>
      <c r="S45" s="170">
        <v>0.309</v>
      </c>
      <c r="T45" s="170">
        <v>0</v>
      </c>
      <c r="U45" s="170">
        <v>0</v>
      </c>
      <c r="V45" s="170">
        <v>0</v>
      </c>
      <c r="W45" s="168">
        <f t="shared" si="3"/>
        <v>17.887000000000004</v>
      </c>
      <c r="X45" s="228">
        <v>21.164999999999999</v>
      </c>
      <c r="Y45" s="220">
        <v>71372618.310000002</v>
      </c>
      <c r="Z45" s="220">
        <v>29437972</v>
      </c>
    </row>
    <row r="46" spans="1:26" x14ac:dyDescent="0.25">
      <c r="A46" s="164" t="s">
        <v>170</v>
      </c>
      <c r="B46" s="172" t="s">
        <v>171</v>
      </c>
      <c r="C46" s="173" t="s">
        <v>172</v>
      </c>
      <c r="D46" s="220">
        <v>277573095</v>
      </c>
      <c r="E46" s="220">
        <v>0</v>
      </c>
      <c r="F46" s="220">
        <f t="shared" si="1"/>
        <v>277573095</v>
      </c>
      <c r="G46" s="221">
        <v>8152.21</v>
      </c>
      <c r="H46" s="167">
        <v>27</v>
      </c>
      <c r="I46" s="168">
        <v>0</v>
      </c>
      <c r="J46" s="166">
        <v>27</v>
      </c>
      <c r="K46" s="169">
        <v>0</v>
      </c>
      <c r="L46" s="170">
        <v>0</v>
      </c>
      <c r="M46" s="169">
        <v>0</v>
      </c>
      <c r="N46" s="166">
        <v>0</v>
      </c>
      <c r="O46" s="222">
        <v>5.7279999999999998</v>
      </c>
      <c r="P46" s="169">
        <v>2.9000000000000001E-2</v>
      </c>
      <c r="Q46" s="171">
        <f t="shared" si="2"/>
        <v>32.757000000000005</v>
      </c>
      <c r="R46" s="168">
        <v>0</v>
      </c>
      <c r="S46" s="170">
        <v>0</v>
      </c>
      <c r="T46" s="170">
        <v>0</v>
      </c>
      <c r="U46" s="170">
        <v>0</v>
      </c>
      <c r="V46" s="170">
        <v>0</v>
      </c>
      <c r="W46" s="168">
        <f t="shared" si="3"/>
        <v>32.757000000000005</v>
      </c>
      <c r="X46" s="228">
        <v>77.706000000000003</v>
      </c>
      <c r="Y46" s="220">
        <v>22803775.030000001</v>
      </c>
      <c r="Z46" s="220">
        <v>14074345</v>
      </c>
    </row>
    <row r="47" spans="1:26" x14ac:dyDescent="0.25">
      <c r="A47" s="164" t="s">
        <v>173</v>
      </c>
      <c r="B47" s="165" t="s">
        <v>171</v>
      </c>
      <c r="C47" s="166" t="s">
        <v>174</v>
      </c>
      <c r="D47" s="220">
        <v>53529092</v>
      </c>
      <c r="E47" s="220">
        <v>0</v>
      </c>
      <c r="F47" s="220">
        <f t="shared" si="1"/>
        <v>53529092</v>
      </c>
      <c r="G47" s="221">
        <v>18.97</v>
      </c>
      <c r="H47" s="167">
        <v>27</v>
      </c>
      <c r="I47" s="168">
        <v>5.8120000000000003</v>
      </c>
      <c r="J47" s="166">
        <v>21.187999999999999</v>
      </c>
      <c r="K47" s="169">
        <v>0</v>
      </c>
      <c r="L47" s="170">
        <v>0</v>
      </c>
      <c r="M47" s="169">
        <v>0</v>
      </c>
      <c r="N47" s="166">
        <v>0</v>
      </c>
      <c r="O47" s="222">
        <v>0</v>
      </c>
      <c r="P47" s="169">
        <v>0</v>
      </c>
      <c r="Q47" s="171">
        <f t="shared" si="2"/>
        <v>21.187999999999999</v>
      </c>
      <c r="R47" s="168">
        <v>0</v>
      </c>
      <c r="S47" s="170">
        <v>0</v>
      </c>
      <c r="T47" s="170">
        <v>0</v>
      </c>
      <c r="U47" s="170">
        <v>0</v>
      </c>
      <c r="V47" s="170">
        <v>0</v>
      </c>
      <c r="W47" s="168">
        <f t="shared" si="3"/>
        <v>21.187999999999999</v>
      </c>
      <c r="X47" s="228">
        <v>69.147000000000006</v>
      </c>
      <c r="Y47" s="220">
        <v>3869015.65</v>
      </c>
      <c r="Z47" s="220">
        <v>2567128</v>
      </c>
    </row>
    <row r="48" spans="1:26" x14ac:dyDescent="0.25">
      <c r="A48" s="164" t="s">
        <v>175</v>
      </c>
      <c r="B48" s="165" t="s">
        <v>171</v>
      </c>
      <c r="C48" s="166" t="s">
        <v>176</v>
      </c>
      <c r="D48" s="220">
        <v>40838500</v>
      </c>
      <c r="E48" s="220">
        <v>0</v>
      </c>
      <c r="F48" s="220">
        <f t="shared" si="1"/>
        <v>40838500</v>
      </c>
      <c r="G48" s="221">
        <v>3854.5099999999998</v>
      </c>
      <c r="H48" s="167">
        <v>27</v>
      </c>
      <c r="I48" s="168">
        <v>0</v>
      </c>
      <c r="J48" s="166">
        <v>27</v>
      </c>
      <c r="K48" s="169">
        <v>0</v>
      </c>
      <c r="L48" s="170">
        <v>0</v>
      </c>
      <c r="M48" s="169">
        <v>0</v>
      </c>
      <c r="N48" s="166">
        <v>0</v>
      </c>
      <c r="O48" s="222">
        <v>0</v>
      </c>
      <c r="P48" s="169">
        <v>9.1999999999999998E-2</v>
      </c>
      <c r="Q48" s="171">
        <f t="shared" si="2"/>
        <v>27.091999999999999</v>
      </c>
      <c r="R48" s="168">
        <v>4.8730000000000002</v>
      </c>
      <c r="S48" s="170">
        <v>0</v>
      </c>
      <c r="T48" s="170">
        <v>0</v>
      </c>
      <c r="U48" s="170">
        <v>0</v>
      </c>
      <c r="V48" s="170">
        <v>0</v>
      </c>
      <c r="W48" s="168">
        <f t="shared" si="3"/>
        <v>27.091999999999999</v>
      </c>
      <c r="X48" s="228">
        <v>102.339</v>
      </c>
      <c r="Y48" s="220">
        <v>4288096.72</v>
      </c>
      <c r="Z48" s="220">
        <v>3066216</v>
      </c>
    </row>
    <row r="49" spans="1:26" x14ac:dyDescent="0.25">
      <c r="A49" s="164" t="s">
        <v>177</v>
      </c>
      <c r="B49" s="165" t="s">
        <v>171</v>
      </c>
      <c r="C49" s="166" t="s">
        <v>171</v>
      </c>
      <c r="D49" s="220">
        <v>27177878</v>
      </c>
      <c r="E49" s="220">
        <v>0</v>
      </c>
      <c r="F49" s="220">
        <f t="shared" si="1"/>
        <v>27177878</v>
      </c>
      <c r="G49" s="221">
        <v>870.82999999999993</v>
      </c>
      <c r="H49" s="167">
        <v>24.431000000000001</v>
      </c>
      <c r="I49" s="168">
        <v>1.835</v>
      </c>
      <c r="J49" s="166">
        <v>22.596</v>
      </c>
      <c r="K49" s="169">
        <v>0</v>
      </c>
      <c r="L49" s="170">
        <v>0</v>
      </c>
      <c r="M49" s="169">
        <v>0</v>
      </c>
      <c r="N49" s="166">
        <v>0</v>
      </c>
      <c r="O49" s="222">
        <v>0</v>
      </c>
      <c r="P49" s="169">
        <v>3.2000000000000001E-2</v>
      </c>
      <c r="Q49" s="171">
        <f t="shared" si="2"/>
        <v>22.628</v>
      </c>
      <c r="R49" s="168">
        <v>7.3239999999999998</v>
      </c>
      <c r="S49" s="170">
        <v>0</v>
      </c>
      <c r="T49" s="170">
        <v>0</v>
      </c>
      <c r="U49" s="170">
        <v>0</v>
      </c>
      <c r="V49" s="170">
        <v>0</v>
      </c>
      <c r="W49" s="168">
        <f t="shared" si="3"/>
        <v>22.628</v>
      </c>
      <c r="X49" s="228">
        <v>135.29900000000001</v>
      </c>
      <c r="Y49" s="220">
        <v>3780229.83</v>
      </c>
      <c r="Z49" s="220">
        <v>3066444</v>
      </c>
    </row>
    <row r="50" spans="1:26" x14ac:dyDescent="0.25">
      <c r="A50" s="164" t="s">
        <v>178</v>
      </c>
      <c r="B50" s="172" t="s">
        <v>171</v>
      </c>
      <c r="C50" s="173" t="s">
        <v>179</v>
      </c>
      <c r="D50" s="220">
        <v>26830186</v>
      </c>
      <c r="E50" s="220">
        <v>0</v>
      </c>
      <c r="F50" s="220">
        <f t="shared" si="1"/>
        <v>26830186</v>
      </c>
      <c r="G50" s="221">
        <v>29.96</v>
      </c>
      <c r="H50" s="167">
        <v>27</v>
      </c>
      <c r="I50" s="168">
        <v>8.202</v>
      </c>
      <c r="J50" s="166">
        <v>18.797999999999998</v>
      </c>
      <c r="K50" s="169">
        <v>0</v>
      </c>
      <c r="L50" s="170">
        <v>0</v>
      </c>
      <c r="M50" s="169">
        <v>0</v>
      </c>
      <c r="N50" s="166">
        <v>0</v>
      </c>
      <c r="O50" s="222">
        <v>0</v>
      </c>
      <c r="P50" s="169">
        <v>1E-3</v>
      </c>
      <c r="Q50" s="171">
        <f t="shared" si="2"/>
        <v>18.798999999999999</v>
      </c>
      <c r="R50" s="168">
        <v>0</v>
      </c>
      <c r="S50" s="170">
        <v>0</v>
      </c>
      <c r="T50" s="170">
        <v>0</v>
      </c>
      <c r="U50" s="170">
        <v>0</v>
      </c>
      <c r="V50" s="170">
        <v>0</v>
      </c>
      <c r="W50" s="168">
        <f t="shared" si="3"/>
        <v>18.798999999999999</v>
      </c>
      <c r="X50" s="228">
        <v>62.279000000000003</v>
      </c>
      <c r="Y50" s="220">
        <v>1730491.42</v>
      </c>
      <c r="Z50" s="220">
        <v>1166171</v>
      </c>
    </row>
    <row r="51" spans="1:26" x14ac:dyDescent="0.25">
      <c r="A51" s="164" t="s">
        <v>180</v>
      </c>
      <c r="B51" s="172" t="s">
        <v>181</v>
      </c>
      <c r="C51" s="173" t="s">
        <v>182</v>
      </c>
      <c r="D51" s="220">
        <v>50906936</v>
      </c>
      <c r="E51" s="220">
        <v>0</v>
      </c>
      <c r="F51" s="220">
        <f t="shared" si="1"/>
        <v>50906936</v>
      </c>
      <c r="G51" s="221">
        <v>5074.2</v>
      </c>
      <c r="H51" s="167">
        <v>27</v>
      </c>
      <c r="I51" s="168">
        <v>0</v>
      </c>
      <c r="J51" s="166">
        <v>27</v>
      </c>
      <c r="K51" s="169">
        <v>0</v>
      </c>
      <c r="L51" s="170">
        <v>0</v>
      </c>
      <c r="M51" s="169">
        <v>0</v>
      </c>
      <c r="N51" s="166">
        <v>0</v>
      </c>
      <c r="O51" s="222">
        <v>0</v>
      </c>
      <c r="P51" s="169">
        <v>0.34200000000000003</v>
      </c>
      <c r="Q51" s="171">
        <f t="shared" si="2"/>
        <v>27.341999999999999</v>
      </c>
      <c r="R51" s="168">
        <v>10.151999999999999</v>
      </c>
      <c r="S51" s="170">
        <v>0</v>
      </c>
      <c r="T51" s="170">
        <v>0</v>
      </c>
      <c r="U51" s="170">
        <v>0</v>
      </c>
      <c r="V51" s="170">
        <v>0</v>
      </c>
      <c r="W51" s="168">
        <f t="shared" si="3"/>
        <v>27.341999999999999</v>
      </c>
      <c r="X51" s="228">
        <v>98.878</v>
      </c>
      <c r="Y51" s="220">
        <v>5198338.68</v>
      </c>
      <c r="Z51" s="220">
        <v>3670122</v>
      </c>
    </row>
    <row r="52" spans="1:26" x14ac:dyDescent="0.25">
      <c r="A52" s="164" t="s">
        <v>183</v>
      </c>
      <c r="B52" s="165" t="s">
        <v>181</v>
      </c>
      <c r="C52" s="166" t="s">
        <v>184</v>
      </c>
      <c r="D52" s="220">
        <v>836797720</v>
      </c>
      <c r="E52" s="220">
        <v>-10698540</v>
      </c>
      <c r="F52" s="220">
        <f t="shared" si="1"/>
        <v>826099180</v>
      </c>
      <c r="G52" s="221">
        <v>531234.81999999995</v>
      </c>
      <c r="H52" s="167">
        <v>15.72</v>
      </c>
      <c r="I52" s="168">
        <v>0</v>
      </c>
      <c r="J52" s="166">
        <v>15.72</v>
      </c>
      <c r="K52" s="169">
        <v>0</v>
      </c>
      <c r="L52" s="170">
        <v>0</v>
      </c>
      <c r="M52" s="169">
        <v>0</v>
      </c>
      <c r="N52" s="166">
        <v>0</v>
      </c>
      <c r="O52" s="222">
        <v>6.9610000000000003</v>
      </c>
      <c r="P52" s="169">
        <v>0.64400000000000002</v>
      </c>
      <c r="Q52" s="171">
        <f t="shared" si="2"/>
        <v>23.324999999999999</v>
      </c>
      <c r="R52" s="168">
        <v>17.474</v>
      </c>
      <c r="S52" s="170">
        <v>0</v>
      </c>
      <c r="T52" s="170">
        <v>0</v>
      </c>
      <c r="U52" s="170">
        <v>0</v>
      </c>
      <c r="V52" s="170">
        <v>0</v>
      </c>
      <c r="W52" s="168">
        <f t="shared" si="3"/>
        <v>23.324999999999999</v>
      </c>
      <c r="X52" s="228">
        <v>156.35900000000001</v>
      </c>
      <c r="Y52" s="220">
        <v>130705533.2</v>
      </c>
      <c r="Z52" s="220">
        <v>116433786</v>
      </c>
    </row>
    <row r="53" spans="1:26" x14ac:dyDescent="0.25">
      <c r="A53" s="165" t="s">
        <v>185</v>
      </c>
      <c r="B53" s="172" t="s">
        <v>181</v>
      </c>
      <c r="C53" s="173" t="s">
        <v>186</v>
      </c>
      <c r="D53" s="220">
        <v>704386240</v>
      </c>
      <c r="E53" s="220">
        <v>-1435390</v>
      </c>
      <c r="F53" s="220">
        <f t="shared" si="1"/>
        <v>702950850</v>
      </c>
      <c r="G53" s="221">
        <v>100847.36</v>
      </c>
      <c r="H53" s="167">
        <v>27</v>
      </c>
      <c r="I53" s="168">
        <v>3.1059999999999999</v>
      </c>
      <c r="J53" s="166">
        <v>23.893999999999998</v>
      </c>
      <c r="K53" s="169">
        <v>0</v>
      </c>
      <c r="L53" s="170">
        <v>0</v>
      </c>
      <c r="M53" s="169">
        <v>0</v>
      </c>
      <c r="N53" s="166">
        <v>0</v>
      </c>
      <c r="O53" s="222">
        <v>12.471</v>
      </c>
      <c r="P53" s="169">
        <v>0.14299999999999999</v>
      </c>
      <c r="Q53" s="171">
        <f t="shared" si="2"/>
        <v>36.507999999999996</v>
      </c>
      <c r="R53" s="168">
        <v>4.7</v>
      </c>
      <c r="S53" s="170">
        <v>0</v>
      </c>
      <c r="T53" s="170">
        <v>0</v>
      </c>
      <c r="U53" s="170">
        <v>0</v>
      </c>
      <c r="V53" s="170">
        <v>6.407</v>
      </c>
      <c r="W53" s="168">
        <f t="shared" si="3"/>
        <v>42.914999999999992</v>
      </c>
      <c r="X53" s="228">
        <v>130.75800000000001</v>
      </c>
      <c r="Y53" s="220">
        <v>87056013.829999998</v>
      </c>
      <c r="Z53" s="220">
        <v>67688414</v>
      </c>
    </row>
    <row r="54" spans="1:26" x14ac:dyDescent="0.25">
      <c r="A54" s="164" t="s">
        <v>187</v>
      </c>
      <c r="B54" s="165" t="s">
        <v>181</v>
      </c>
      <c r="C54" s="166" t="s">
        <v>188</v>
      </c>
      <c r="D54" s="220">
        <v>205642730</v>
      </c>
      <c r="E54" s="220">
        <v>-4032760</v>
      </c>
      <c r="F54" s="220">
        <f t="shared" si="1"/>
        <v>201609970</v>
      </c>
      <c r="G54" s="221">
        <v>4270.05</v>
      </c>
      <c r="H54" s="167">
        <v>27</v>
      </c>
      <c r="I54" s="168">
        <v>5.3159999999999998</v>
      </c>
      <c r="J54" s="166">
        <v>21.684000000000001</v>
      </c>
      <c r="K54" s="169">
        <v>0</v>
      </c>
      <c r="L54" s="170">
        <v>0</v>
      </c>
      <c r="M54" s="169">
        <v>0</v>
      </c>
      <c r="N54" s="166">
        <v>0</v>
      </c>
      <c r="O54" s="222">
        <v>5</v>
      </c>
      <c r="P54" s="169">
        <v>0.02</v>
      </c>
      <c r="Q54" s="171">
        <f t="shared" si="2"/>
        <v>26.704000000000001</v>
      </c>
      <c r="R54" s="168">
        <v>0</v>
      </c>
      <c r="S54" s="170">
        <v>0</v>
      </c>
      <c r="T54" s="170">
        <v>0</v>
      </c>
      <c r="U54" s="170">
        <v>0</v>
      </c>
      <c r="V54" s="170">
        <v>0</v>
      </c>
      <c r="W54" s="168">
        <f t="shared" si="3"/>
        <v>26.704000000000001</v>
      </c>
      <c r="X54" s="228">
        <v>381.61099999999999</v>
      </c>
      <c r="Y54" s="220">
        <v>77286743.219999999</v>
      </c>
      <c r="Z54" s="220">
        <v>72503783</v>
      </c>
    </row>
    <row r="55" spans="1:26" x14ac:dyDescent="0.25">
      <c r="A55" s="164" t="s">
        <v>189</v>
      </c>
      <c r="B55" s="165" t="s">
        <v>181</v>
      </c>
      <c r="C55" s="166" t="s">
        <v>190</v>
      </c>
      <c r="D55" s="220">
        <v>3567715230</v>
      </c>
      <c r="E55" s="220">
        <v>-81343200</v>
      </c>
      <c r="F55" s="220">
        <f t="shared" si="1"/>
        <v>3486372030</v>
      </c>
      <c r="G55" s="221">
        <v>1924986.78</v>
      </c>
      <c r="H55" s="167">
        <v>20.715</v>
      </c>
      <c r="I55" s="168">
        <v>0</v>
      </c>
      <c r="J55" s="166">
        <v>20.715</v>
      </c>
      <c r="K55" s="169">
        <v>0</v>
      </c>
      <c r="L55" s="170">
        <v>0</v>
      </c>
      <c r="M55" s="169">
        <v>0</v>
      </c>
      <c r="N55" s="166">
        <v>0</v>
      </c>
      <c r="O55" s="222">
        <v>21.562000000000001</v>
      </c>
      <c r="P55" s="169">
        <v>0.54400000000000004</v>
      </c>
      <c r="Q55" s="171">
        <f t="shared" si="2"/>
        <v>42.820999999999998</v>
      </c>
      <c r="R55" s="168">
        <v>0</v>
      </c>
      <c r="S55" s="170">
        <v>0</v>
      </c>
      <c r="T55" s="170">
        <v>0</v>
      </c>
      <c r="U55" s="170">
        <v>0</v>
      </c>
      <c r="V55" s="170">
        <v>0</v>
      </c>
      <c r="W55" s="168">
        <f t="shared" si="3"/>
        <v>42.820999999999998</v>
      </c>
      <c r="X55" s="228">
        <v>77.007000000000005</v>
      </c>
      <c r="Y55" s="220">
        <v>275601414.35000002</v>
      </c>
      <c r="Z55" s="220">
        <v>196096159</v>
      </c>
    </row>
    <row r="56" spans="1:26" x14ac:dyDescent="0.25">
      <c r="A56" s="164" t="s">
        <v>191</v>
      </c>
      <c r="B56" s="172" t="s">
        <v>181</v>
      </c>
      <c r="C56" s="173" t="s">
        <v>192</v>
      </c>
      <c r="D56" s="220">
        <v>465514380</v>
      </c>
      <c r="E56" s="220">
        <v>0</v>
      </c>
      <c r="F56" s="220">
        <f t="shared" si="1"/>
        <v>465514380</v>
      </c>
      <c r="G56" s="221">
        <v>53827.03</v>
      </c>
      <c r="H56" s="167">
        <v>27</v>
      </c>
      <c r="I56" s="168">
        <v>0</v>
      </c>
      <c r="J56" s="166">
        <v>27</v>
      </c>
      <c r="K56" s="169">
        <v>0</v>
      </c>
      <c r="L56" s="170">
        <v>0</v>
      </c>
      <c r="M56" s="169">
        <v>0</v>
      </c>
      <c r="N56" s="166">
        <v>0</v>
      </c>
      <c r="O56" s="222">
        <v>19.954999999999998</v>
      </c>
      <c r="P56" s="169">
        <v>0.11600000000000001</v>
      </c>
      <c r="Q56" s="171">
        <f t="shared" si="2"/>
        <v>47.070999999999998</v>
      </c>
      <c r="R56" s="168">
        <v>7.9290000000000003</v>
      </c>
      <c r="S56" s="170">
        <v>0</v>
      </c>
      <c r="T56" s="170">
        <v>0</v>
      </c>
      <c r="U56" s="170">
        <v>0</v>
      </c>
      <c r="V56" s="170">
        <v>0</v>
      </c>
      <c r="W56" s="168">
        <f t="shared" si="3"/>
        <v>47.070999999999998</v>
      </c>
      <c r="X56" s="228">
        <v>70.248999999999995</v>
      </c>
      <c r="Y56" s="220">
        <v>33993691.840000004</v>
      </c>
      <c r="Z56" s="220">
        <v>20099229</v>
      </c>
    </row>
    <row r="57" spans="1:26" x14ac:dyDescent="0.25">
      <c r="A57" s="164" t="s">
        <v>193</v>
      </c>
      <c r="B57" s="165" t="s">
        <v>181</v>
      </c>
      <c r="C57" s="166" t="s">
        <v>194</v>
      </c>
      <c r="D57" s="220">
        <v>156638330</v>
      </c>
      <c r="E57" s="220">
        <v>-1695180</v>
      </c>
      <c r="F57" s="220">
        <f t="shared" si="1"/>
        <v>154943150</v>
      </c>
      <c r="G57" s="221">
        <v>40086.14</v>
      </c>
      <c r="H57" s="167">
        <v>27</v>
      </c>
      <c r="I57" s="168">
        <v>2.1840000000000002</v>
      </c>
      <c r="J57" s="166">
        <v>24.815999999999999</v>
      </c>
      <c r="K57" s="169">
        <v>0</v>
      </c>
      <c r="L57" s="170">
        <v>0</v>
      </c>
      <c r="M57" s="169">
        <v>0</v>
      </c>
      <c r="N57" s="166">
        <v>0</v>
      </c>
      <c r="O57" s="222">
        <v>26.646999999999998</v>
      </c>
      <c r="P57" s="169">
        <v>0.26900000000000002</v>
      </c>
      <c r="Q57" s="171">
        <f t="shared" si="2"/>
        <v>51.731999999999992</v>
      </c>
      <c r="R57" s="168">
        <v>0</v>
      </c>
      <c r="S57" s="170">
        <v>0</v>
      </c>
      <c r="T57" s="170">
        <v>0</v>
      </c>
      <c r="U57" s="170">
        <v>0</v>
      </c>
      <c r="V57" s="170">
        <v>0</v>
      </c>
      <c r="W57" s="168">
        <f t="shared" si="3"/>
        <v>51.731999999999992</v>
      </c>
      <c r="X57" s="228">
        <v>90.641000000000005</v>
      </c>
      <c r="Y57" s="220">
        <v>13749223.98</v>
      </c>
      <c r="Z57" s="220">
        <v>9703326</v>
      </c>
    </row>
    <row r="58" spans="1:26" x14ac:dyDescent="0.25">
      <c r="A58" s="164" t="s">
        <v>195</v>
      </c>
      <c r="B58" s="165" t="s">
        <v>181</v>
      </c>
      <c r="C58" s="166" t="s">
        <v>196</v>
      </c>
      <c r="D58" s="220">
        <v>2261480790</v>
      </c>
      <c r="E58" s="220">
        <v>-35824740</v>
      </c>
      <c r="F58" s="220">
        <f t="shared" si="1"/>
        <v>2225656050</v>
      </c>
      <c r="G58" s="221">
        <v>592786.97</v>
      </c>
      <c r="H58" s="167">
        <v>27</v>
      </c>
      <c r="I58" s="168">
        <v>0</v>
      </c>
      <c r="J58" s="166">
        <v>27</v>
      </c>
      <c r="K58" s="169">
        <v>0</v>
      </c>
      <c r="L58" s="170">
        <v>0</v>
      </c>
      <c r="M58" s="169">
        <v>0</v>
      </c>
      <c r="N58" s="166">
        <v>0</v>
      </c>
      <c r="O58" s="222">
        <v>12.019</v>
      </c>
      <c r="P58" s="169">
        <v>0.26300000000000001</v>
      </c>
      <c r="Q58" s="171">
        <f t="shared" si="2"/>
        <v>39.281999999999996</v>
      </c>
      <c r="R58" s="168">
        <v>13.747999999999999</v>
      </c>
      <c r="S58" s="170">
        <v>0</v>
      </c>
      <c r="T58" s="170">
        <v>0</v>
      </c>
      <c r="U58" s="170">
        <v>0</v>
      </c>
      <c r="V58" s="170">
        <v>0</v>
      </c>
      <c r="W58" s="168">
        <f t="shared" si="3"/>
        <v>39.281999999999996</v>
      </c>
      <c r="X58" s="228">
        <v>105.51</v>
      </c>
      <c r="Y58" s="220">
        <v>241200626.87</v>
      </c>
      <c r="Z58" s="220">
        <v>174958813</v>
      </c>
    </row>
    <row r="59" spans="1:26" x14ac:dyDescent="0.25">
      <c r="A59" s="164" t="s">
        <v>197</v>
      </c>
      <c r="B59" s="172" t="s">
        <v>181</v>
      </c>
      <c r="C59" s="173" t="s">
        <v>198</v>
      </c>
      <c r="D59" s="220">
        <v>46391220</v>
      </c>
      <c r="E59" s="220">
        <v>0</v>
      </c>
      <c r="F59" s="220">
        <f t="shared" si="1"/>
        <v>46391220</v>
      </c>
      <c r="G59" s="221">
        <v>125.19</v>
      </c>
      <c r="H59" s="167">
        <v>27</v>
      </c>
      <c r="I59" s="168">
        <v>0</v>
      </c>
      <c r="J59" s="166">
        <v>27</v>
      </c>
      <c r="K59" s="169">
        <v>0</v>
      </c>
      <c r="L59" s="170">
        <v>0</v>
      </c>
      <c r="M59" s="169">
        <v>0</v>
      </c>
      <c r="N59" s="166">
        <v>0</v>
      </c>
      <c r="O59" s="222">
        <v>0</v>
      </c>
      <c r="P59" s="169">
        <v>0</v>
      </c>
      <c r="Q59" s="171">
        <f t="shared" si="2"/>
        <v>27</v>
      </c>
      <c r="R59" s="168">
        <v>3</v>
      </c>
      <c r="S59" s="170">
        <v>0</v>
      </c>
      <c r="T59" s="170">
        <v>0</v>
      </c>
      <c r="U59" s="170">
        <v>0</v>
      </c>
      <c r="V59" s="170">
        <v>0</v>
      </c>
      <c r="W59" s="168">
        <f t="shared" si="3"/>
        <v>27</v>
      </c>
      <c r="X59" s="228">
        <v>224.321</v>
      </c>
      <c r="Y59" s="220">
        <v>10547333.800000001</v>
      </c>
      <c r="Z59" s="220">
        <v>9121287</v>
      </c>
    </row>
    <row r="60" spans="1:26" x14ac:dyDescent="0.25">
      <c r="A60" s="164" t="s">
        <v>199</v>
      </c>
      <c r="B60" s="172" t="s">
        <v>181</v>
      </c>
      <c r="C60" s="173" t="s">
        <v>200</v>
      </c>
      <c r="D60" s="220">
        <v>59801070</v>
      </c>
      <c r="E60" s="220">
        <v>0</v>
      </c>
      <c r="F60" s="220">
        <f t="shared" si="1"/>
        <v>59801070</v>
      </c>
      <c r="G60" s="221">
        <v>944.88</v>
      </c>
      <c r="H60" s="167">
        <v>27</v>
      </c>
      <c r="I60" s="168">
        <v>3.581</v>
      </c>
      <c r="J60" s="166">
        <v>23.419</v>
      </c>
      <c r="K60" s="169">
        <v>0</v>
      </c>
      <c r="L60" s="170">
        <v>0</v>
      </c>
      <c r="M60" s="169">
        <v>0</v>
      </c>
      <c r="N60" s="166">
        <v>0</v>
      </c>
      <c r="O60" s="222">
        <v>7</v>
      </c>
      <c r="P60" s="169">
        <v>1.6E-2</v>
      </c>
      <c r="Q60" s="171">
        <f t="shared" si="2"/>
        <v>30.434999999999999</v>
      </c>
      <c r="R60" s="168">
        <v>0</v>
      </c>
      <c r="S60" s="170">
        <v>0</v>
      </c>
      <c r="T60" s="170">
        <v>0</v>
      </c>
      <c r="U60" s="170">
        <v>0</v>
      </c>
      <c r="V60" s="170">
        <v>0</v>
      </c>
      <c r="W60" s="168">
        <f t="shared" si="3"/>
        <v>30.434999999999999</v>
      </c>
      <c r="X60" s="228">
        <v>105.428</v>
      </c>
      <c r="Y60" s="220">
        <v>6471912.9199999999</v>
      </c>
      <c r="Z60" s="220">
        <v>4931895</v>
      </c>
    </row>
    <row r="61" spans="1:26" x14ac:dyDescent="0.25">
      <c r="A61" s="164" t="s">
        <v>201</v>
      </c>
      <c r="B61" s="165" t="s">
        <v>181</v>
      </c>
      <c r="C61" s="166" t="s">
        <v>202</v>
      </c>
      <c r="D61" s="220">
        <v>50043030</v>
      </c>
      <c r="E61" s="220">
        <v>0</v>
      </c>
      <c r="F61" s="220">
        <f t="shared" si="1"/>
        <v>50043030</v>
      </c>
      <c r="G61" s="221">
        <v>31859.360000000001</v>
      </c>
      <c r="H61" s="167">
        <v>26.126000000000001</v>
      </c>
      <c r="I61" s="168">
        <v>15.695</v>
      </c>
      <c r="J61" s="166">
        <v>10.433</v>
      </c>
      <c r="K61" s="169">
        <v>0</v>
      </c>
      <c r="L61" s="170">
        <v>0</v>
      </c>
      <c r="M61" s="169">
        <v>0</v>
      </c>
      <c r="N61" s="166">
        <v>0</v>
      </c>
      <c r="O61" s="222">
        <v>0</v>
      </c>
      <c r="P61" s="169">
        <v>0.63700000000000001</v>
      </c>
      <c r="Q61" s="171">
        <f t="shared" si="2"/>
        <v>11.07</v>
      </c>
      <c r="R61" s="168">
        <v>18.75</v>
      </c>
      <c r="S61" s="170">
        <v>0</v>
      </c>
      <c r="T61" s="170">
        <v>0</v>
      </c>
      <c r="U61" s="170">
        <v>0</v>
      </c>
      <c r="V61" s="170">
        <v>0</v>
      </c>
      <c r="W61" s="168">
        <f t="shared" si="3"/>
        <v>11.07</v>
      </c>
      <c r="X61" s="228">
        <v>79.539000000000001</v>
      </c>
      <c r="Y61" s="220">
        <v>3998617.75</v>
      </c>
      <c r="Z61" s="220">
        <v>3435063</v>
      </c>
    </row>
    <row r="62" spans="1:26" x14ac:dyDescent="0.25">
      <c r="A62" s="164" t="s">
        <v>203</v>
      </c>
      <c r="B62" s="172" t="s">
        <v>181</v>
      </c>
      <c r="C62" s="173" t="s">
        <v>204</v>
      </c>
      <c r="D62" s="220">
        <v>701201010</v>
      </c>
      <c r="E62" s="220">
        <v>0</v>
      </c>
      <c r="F62" s="220">
        <f t="shared" si="1"/>
        <v>701201010</v>
      </c>
      <c r="G62" s="221">
        <v>142503.29</v>
      </c>
      <c r="H62" s="167">
        <v>27</v>
      </c>
      <c r="I62" s="168">
        <v>1.8360000000000001</v>
      </c>
      <c r="J62" s="166">
        <v>25.164000000000001</v>
      </c>
      <c r="K62" s="169">
        <v>0</v>
      </c>
      <c r="L62" s="170">
        <v>0</v>
      </c>
      <c r="M62" s="169">
        <v>0</v>
      </c>
      <c r="N62" s="166">
        <v>0</v>
      </c>
      <c r="O62" s="222">
        <v>5.7039999999999997</v>
      </c>
      <c r="P62" s="169">
        <v>0.20300000000000001</v>
      </c>
      <c r="Q62" s="171">
        <f t="shared" si="2"/>
        <v>31.071000000000002</v>
      </c>
      <c r="R62" s="168">
        <v>9.4290000000000003</v>
      </c>
      <c r="S62" s="170">
        <v>0</v>
      </c>
      <c r="T62" s="170">
        <v>0</v>
      </c>
      <c r="U62" s="170">
        <v>0</v>
      </c>
      <c r="V62" s="170">
        <v>0</v>
      </c>
      <c r="W62" s="168">
        <f t="shared" si="3"/>
        <v>31.071000000000002</v>
      </c>
      <c r="X62" s="228">
        <v>83.971000000000004</v>
      </c>
      <c r="Y62" s="220">
        <v>60558049.659999996</v>
      </c>
      <c r="Z62" s="220">
        <v>41250801</v>
      </c>
    </row>
    <row r="63" spans="1:26" x14ac:dyDescent="0.25">
      <c r="A63" s="164" t="s">
        <v>205</v>
      </c>
      <c r="B63" s="172" t="s">
        <v>181</v>
      </c>
      <c r="C63" s="173" t="s">
        <v>206</v>
      </c>
      <c r="D63" s="220">
        <v>1314377980</v>
      </c>
      <c r="E63" s="220">
        <v>0</v>
      </c>
      <c r="F63" s="220">
        <f t="shared" si="1"/>
        <v>1314377980</v>
      </c>
      <c r="G63" s="221">
        <v>262753.68</v>
      </c>
      <c r="H63" s="167">
        <v>27</v>
      </c>
      <c r="I63" s="168">
        <v>0.54100000000000004</v>
      </c>
      <c r="J63" s="166">
        <v>26.459</v>
      </c>
      <c r="K63" s="169">
        <v>0</v>
      </c>
      <c r="L63" s="170">
        <v>0</v>
      </c>
      <c r="M63" s="169">
        <v>0</v>
      </c>
      <c r="N63" s="166">
        <v>0</v>
      </c>
      <c r="O63" s="222">
        <v>18.5</v>
      </c>
      <c r="P63" s="169">
        <v>0.2</v>
      </c>
      <c r="Q63" s="171">
        <f t="shared" si="2"/>
        <v>45.159000000000006</v>
      </c>
      <c r="R63" s="168">
        <v>0</v>
      </c>
      <c r="S63" s="170">
        <v>0</v>
      </c>
      <c r="T63" s="170">
        <v>0</v>
      </c>
      <c r="U63" s="170">
        <v>0</v>
      </c>
      <c r="V63" s="170">
        <v>0</v>
      </c>
      <c r="W63" s="168">
        <f t="shared" si="3"/>
        <v>45.159000000000006</v>
      </c>
      <c r="X63" s="228">
        <v>219.309</v>
      </c>
      <c r="Y63" s="220">
        <v>291654956.88</v>
      </c>
      <c r="Z63" s="220">
        <v>253723597</v>
      </c>
    </row>
    <row r="64" spans="1:26" x14ac:dyDescent="0.25">
      <c r="A64" s="165" t="s">
        <v>207</v>
      </c>
      <c r="B64" s="165" t="s">
        <v>181</v>
      </c>
      <c r="C64" s="166" t="s">
        <v>208</v>
      </c>
      <c r="D64" s="220">
        <v>7403567</v>
      </c>
      <c r="E64" s="220">
        <v>0</v>
      </c>
      <c r="F64" s="220">
        <f t="shared" si="1"/>
        <v>7403567</v>
      </c>
      <c r="G64" s="221">
        <v>803.75</v>
      </c>
      <c r="H64" s="167">
        <v>27</v>
      </c>
      <c r="I64" s="168">
        <v>0</v>
      </c>
      <c r="J64" s="166">
        <v>27</v>
      </c>
      <c r="K64" s="169">
        <v>0</v>
      </c>
      <c r="L64" s="170">
        <v>0</v>
      </c>
      <c r="M64" s="169">
        <v>0</v>
      </c>
      <c r="N64" s="166">
        <v>0</v>
      </c>
      <c r="O64" s="222">
        <v>0</v>
      </c>
      <c r="P64" s="169">
        <v>2.1999999999999999E-2</v>
      </c>
      <c r="Q64" s="171">
        <f t="shared" si="2"/>
        <v>27.021999999999998</v>
      </c>
      <c r="R64" s="168">
        <v>4.3220000000000001</v>
      </c>
      <c r="S64" s="170">
        <v>0</v>
      </c>
      <c r="T64" s="170">
        <v>0</v>
      </c>
      <c r="U64" s="170">
        <v>0</v>
      </c>
      <c r="V64" s="170">
        <v>0</v>
      </c>
      <c r="W64" s="168">
        <f t="shared" si="3"/>
        <v>27.021999999999998</v>
      </c>
      <c r="X64" s="228">
        <v>375.05900000000003</v>
      </c>
      <c r="Y64" s="220">
        <v>2792311.05</v>
      </c>
      <c r="Z64" s="220">
        <v>2579371</v>
      </c>
    </row>
    <row r="65" spans="1:26" x14ac:dyDescent="0.25">
      <c r="A65" s="164" t="s">
        <v>209</v>
      </c>
      <c r="B65" s="172" t="s">
        <v>181</v>
      </c>
      <c r="C65" s="173" t="s">
        <v>210</v>
      </c>
      <c r="D65" s="220">
        <v>36326653</v>
      </c>
      <c r="E65" s="220">
        <v>0</v>
      </c>
      <c r="F65" s="220">
        <f t="shared" si="1"/>
        <v>36326653</v>
      </c>
      <c r="G65" s="221">
        <v>4500.99</v>
      </c>
      <c r="H65" s="167">
        <v>27</v>
      </c>
      <c r="I65" s="168">
        <v>4.1660000000000004</v>
      </c>
      <c r="J65" s="166">
        <v>22.834</v>
      </c>
      <c r="K65" s="169">
        <v>0</v>
      </c>
      <c r="L65" s="170">
        <v>0</v>
      </c>
      <c r="M65" s="169">
        <v>0</v>
      </c>
      <c r="N65" s="166">
        <v>0</v>
      </c>
      <c r="O65" s="222">
        <v>0</v>
      </c>
      <c r="P65" s="169">
        <v>0</v>
      </c>
      <c r="Q65" s="171">
        <f t="shared" si="2"/>
        <v>22.834</v>
      </c>
      <c r="R65" s="168">
        <v>4.4560000000000004</v>
      </c>
      <c r="S65" s="170">
        <v>0</v>
      </c>
      <c r="T65" s="170">
        <v>0</v>
      </c>
      <c r="U65" s="170">
        <v>0</v>
      </c>
      <c r="V65" s="170">
        <v>0</v>
      </c>
      <c r="W65" s="168">
        <f t="shared" si="3"/>
        <v>22.834</v>
      </c>
      <c r="X65" s="228">
        <v>0</v>
      </c>
      <c r="Y65" s="220">
        <v>4032044.62</v>
      </c>
      <c r="Z65" s="220">
        <v>3140149</v>
      </c>
    </row>
    <row r="66" spans="1:26" x14ac:dyDescent="0.25">
      <c r="A66" s="164" t="s">
        <v>211</v>
      </c>
      <c r="B66" s="165" t="s">
        <v>212</v>
      </c>
      <c r="C66" s="166" t="s">
        <v>213</v>
      </c>
      <c r="D66" s="220">
        <v>313729238</v>
      </c>
      <c r="E66" s="220">
        <v>-400597</v>
      </c>
      <c r="F66" s="220">
        <f t="shared" si="1"/>
        <v>313328641</v>
      </c>
      <c r="G66" s="221">
        <v>0</v>
      </c>
      <c r="H66" s="167">
        <v>27</v>
      </c>
      <c r="I66" s="168">
        <v>0</v>
      </c>
      <c r="J66" s="166">
        <v>27</v>
      </c>
      <c r="K66" s="169">
        <v>0</v>
      </c>
      <c r="L66" s="170">
        <v>0</v>
      </c>
      <c r="M66" s="169">
        <v>0</v>
      </c>
      <c r="N66" s="166">
        <v>0</v>
      </c>
      <c r="O66" s="222">
        <v>4.42</v>
      </c>
      <c r="P66" s="169">
        <v>0</v>
      </c>
      <c r="Q66" s="171">
        <f t="shared" si="2"/>
        <v>31.42</v>
      </c>
      <c r="R66" s="168">
        <v>12.287000000000001</v>
      </c>
      <c r="S66" s="170">
        <v>0</v>
      </c>
      <c r="T66" s="170">
        <v>0</v>
      </c>
      <c r="U66" s="170">
        <v>0</v>
      </c>
      <c r="V66" s="170">
        <v>0</v>
      </c>
      <c r="W66" s="168">
        <f t="shared" si="3"/>
        <v>31.42</v>
      </c>
      <c r="X66" s="228">
        <v>101.375</v>
      </c>
      <c r="Y66" s="220">
        <v>32974807.34</v>
      </c>
      <c r="Z66" s="220">
        <v>23296555</v>
      </c>
    </row>
    <row r="67" spans="1:26" x14ac:dyDescent="0.25">
      <c r="A67" s="164" t="s">
        <v>214</v>
      </c>
      <c r="B67" s="165" t="s">
        <v>212</v>
      </c>
      <c r="C67" s="166" t="s">
        <v>215</v>
      </c>
      <c r="D67" s="220">
        <v>169808986</v>
      </c>
      <c r="E67" s="220">
        <v>0</v>
      </c>
      <c r="F67" s="220">
        <f t="shared" ref="F67:F130" si="4">D67+E67</f>
        <v>169808986</v>
      </c>
      <c r="G67" s="221">
        <v>5.29</v>
      </c>
      <c r="H67" s="167">
        <v>27</v>
      </c>
      <c r="I67" s="168">
        <v>9.7970000000000006</v>
      </c>
      <c r="J67" s="166">
        <v>17.202999999999999</v>
      </c>
      <c r="K67" s="169">
        <v>0</v>
      </c>
      <c r="L67" s="170">
        <v>0</v>
      </c>
      <c r="M67" s="169">
        <v>0</v>
      </c>
      <c r="N67" s="166">
        <v>0</v>
      </c>
      <c r="O67" s="222">
        <v>2.0609999999999999</v>
      </c>
      <c r="P67" s="169">
        <v>0</v>
      </c>
      <c r="Q67" s="171">
        <f t="shared" ref="Q67:Q130" si="5">SUM(J67:P67)</f>
        <v>19.263999999999999</v>
      </c>
      <c r="R67" s="168">
        <v>11.118</v>
      </c>
      <c r="S67" s="170">
        <v>0</v>
      </c>
      <c r="T67" s="170">
        <v>0</v>
      </c>
      <c r="U67" s="170">
        <v>0</v>
      </c>
      <c r="V67" s="170">
        <v>0</v>
      </c>
      <c r="W67" s="168">
        <f t="shared" si="3"/>
        <v>19.263999999999999</v>
      </c>
      <c r="X67" s="228">
        <v>77.650999999999996</v>
      </c>
      <c r="Y67" s="220">
        <v>13431519.279999999</v>
      </c>
      <c r="Z67" s="220">
        <v>10263748</v>
      </c>
    </row>
    <row r="68" spans="1:26" x14ac:dyDescent="0.25">
      <c r="A68" s="164" t="s">
        <v>216</v>
      </c>
      <c r="B68" s="172" t="s">
        <v>212</v>
      </c>
      <c r="C68" s="173" t="s">
        <v>217</v>
      </c>
      <c r="D68" s="220">
        <v>76843061</v>
      </c>
      <c r="E68" s="220">
        <v>0</v>
      </c>
      <c r="F68" s="220">
        <f t="shared" si="4"/>
        <v>76843061</v>
      </c>
      <c r="G68" s="221">
        <v>0</v>
      </c>
      <c r="H68" s="167">
        <v>27</v>
      </c>
      <c r="I68" s="168">
        <v>3.298</v>
      </c>
      <c r="J68" s="166">
        <v>23.702000000000002</v>
      </c>
      <c r="K68" s="169">
        <v>0</v>
      </c>
      <c r="L68" s="170">
        <v>0</v>
      </c>
      <c r="M68" s="169">
        <v>0</v>
      </c>
      <c r="N68" s="166">
        <v>0</v>
      </c>
      <c r="O68" s="222">
        <v>2</v>
      </c>
      <c r="P68" s="169">
        <v>0</v>
      </c>
      <c r="Q68" s="171">
        <f t="shared" si="5"/>
        <v>25.702000000000002</v>
      </c>
      <c r="R68" s="168">
        <v>0</v>
      </c>
      <c r="S68" s="170">
        <v>0</v>
      </c>
      <c r="T68" s="170">
        <v>0</v>
      </c>
      <c r="U68" s="170">
        <v>0</v>
      </c>
      <c r="V68" s="170">
        <v>0</v>
      </c>
      <c r="W68" s="168">
        <f t="shared" ref="W68:W131" si="6">Q68+(SUM(S68:V68))</f>
        <v>25.702000000000002</v>
      </c>
      <c r="X68" s="228">
        <v>39.726999999999997</v>
      </c>
      <c r="Y68" s="220">
        <v>3313669.31</v>
      </c>
      <c r="Z68" s="220">
        <v>1237409</v>
      </c>
    </row>
    <row r="69" spans="1:26" x14ac:dyDescent="0.25">
      <c r="A69" s="164" t="s">
        <v>218</v>
      </c>
      <c r="B69" s="172" t="s">
        <v>219</v>
      </c>
      <c r="C69" s="173" t="s">
        <v>220</v>
      </c>
      <c r="D69" s="220">
        <v>1274072300</v>
      </c>
      <c r="E69" s="220">
        <v>-4323700</v>
      </c>
      <c r="F69" s="220">
        <f t="shared" si="4"/>
        <v>1269748600</v>
      </c>
      <c r="G69" s="221">
        <v>151370.57999999999</v>
      </c>
      <c r="H69" s="167">
        <v>27</v>
      </c>
      <c r="I69" s="168">
        <v>3.2410000000000001</v>
      </c>
      <c r="J69" s="166">
        <v>23.759</v>
      </c>
      <c r="K69" s="169">
        <v>0</v>
      </c>
      <c r="L69" s="170">
        <v>0</v>
      </c>
      <c r="M69" s="169">
        <v>0</v>
      </c>
      <c r="N69" s="166">
        <v>0</v>
      </c>
      <c r="O69" s="222">
        <v>13.101000000000001</v>
      </c>
      <c r="P69" s="169">
        <v>7.0999999999999994E-2</v>
      </c>
      <c r="Q69" s="171">
        <f t="shared" si="5"/>
        <v>36.930999999999997</v>
      </c>
      <c r="R69" s="168">
        <v>10.468999999999999</v>
      </c>
      <c r="S69" s="170">
        <v>0</v>
      </c>
      <c r="T69" s="170">
        <v>0</v>
      </c>
      <c r="U69" s="170">
        <v>0</v>
      </c>
      <c r="V69" s="170">
        <v>0</v>
      </c>
      <c r="W69" s="168">
        <f t="shared" si="6"/>
        <v>36.930999999999997</v>
      </c>
      <c r="X69" s="228">
        <v>45.942999999999998</v>
      </c>
      <c r="Y69" s="220">
        <v>63425868.539999999</v>
      </c>
      <c r="Z69" s="220">
        <v>26274638</v>
      </c>
    </row>
    <row r="70" spans="1:26" x14ac:dyDescent="0.25">
      <c r="A70" s="164" t="s">
        <v>221</v>
      </c>
      <c r="B70" s="172" t="s">
        <v>219</v>
      </c>
      <c r="C70" s="173" t="s">
        <v>222</v>
      </c>
      <c r="D70" s="220">
        <v>958617310</v>
      </c>
      <c r="E70" s="220">
        <v>-1975700</v>
      </c>
      <c r="F70" s="220">
        <f t="shared" si="4"/>
        <v>956641610</v>
      </c>
      <c r="G70" s="221">
        <v>22171.54</v>
      </c>
      <c r="H70" s="167">
        <v>16.282</v>
      </c>
      <c r="I70" s="168">
        <v>9.5820000000000007</v>
      </c>
      <c r="J70" s="166">
        <v>6.7</v>
      </c>
      <c r="K70" s="169">
        <v>0</v>
      </c>
      <c r="L70" s="170">
        <v>0</v>
      </c>
      <c r="M70" s="169">
        <v>0</v>
      </c>
      <c r="N70" s="166">
        <v>0</v>
      </c>
      <c r="O70" s="222">
        <v>9.6159999999999997</v>
      </c>
      <c r="P70" s="169">
        <v>2.3E-2</v>
      </c>
      <c r="Q70" s="171">
        <f t="shared" si="5"/>
        <v>16.338999999999999</v>
      </c>
      <c r="R70" s="168">
        <v>8.9770000000000003</v>
      </c>
      <c r="S70" s="170">
        <v>0</v>
      </c>
      <c r="T70" s="170">
        <v>0</v>
      </c>
      <c r="U70" s="170">
        <v>0</v>
      </c>
      <c r="V70" s="170">
        <v>0</v>
      </c>
      <c r="W70" s="168">
        <f t="shared" si="6"/>
        <v>16.338999999999999</v>
      </c>
      <c r="X70" s="228">
        <v>46.587000000000003</v>
      </c>
      <c r="Y70" s="220">
        <v>44729359.560000002</v>
      </c>
      <c r="Z70" s="220">
        <v>38070535</v>
      </c>
    </row>
    <row r="71" spans="1:26" x14ac:dyDescent="0.25">
      <c r="A71" s="165" t="s">
        <v>223</v>
      </c>
      <c r="B71" s="165" t="s">
        <v>219</v>
      </c>
      <c r="C71" s="166" t="s">
        <v>224</v>
      </c>
      <c r="D71" s="220">
        <v>902625740</v>
      </c>
      <c r="E71" s="220">
        <v>0</v>
      </c>
      <c r="F71" s="220">
        <f t="shared" si="4"/>
        <v>902625740</v>
      </c>
      <c r="G71" s="221">
        <v>8561.52</v>
      </c>
      <c r="H71" s="167">
        <v>4.3949999999999996</v>
      </c>
      <c r="I71" s="168">
        <v>0.16400000000000001</v>
      </c>
      <c r="J71" s="166">
        <v>4.2309999999999999</v>
      </c>
      <c r="K71" s="169">
        <v>0</v>
      </c>
      <c r="L71" s="170">
        <v>0</v>
      </c>
      <c r="M71" s="169">
        <v>0</v>
      </c>
      <c r="N71" s="166">
        <v>0</v>
      </c>
      <c r="O71" s="222">
        <v>2.4009999999999998</v>
      </c>
      <c r="P71" s="169">
        <v>8.9999999999999993E-3</v>
      </c>
      <c r="Q71" s="171">
        <f t="shared" si="5"/>
        <v>6.641</v>
      </c>
      <c r="R71" s="168">
        <v>6.093</v>
      </c>
      <c r="S71" s="170">
        <v>0</v>
      </c>
      <c r="T71" s="170">
        <v>0</v>
      </c>
      <c r="U71" s="170">
        <v>0</v>
      </c>
      <c r="V71" s="170">
        <v>0</v>
      </c>
      <c r="W71" s="168">
        <f t="shared" si="6"/>
        <v>6.641</v>
      </c>
      <c r="X71" s="228">
        <v>14.616</v>
      </c>
      <c r="Y71" s="220">
        <v>13294531.24</v>
      </c>
      <c r="Z71" s="220">
        <v>9377266</v>
      </c>
    </row>
    <row r="72" spans="1:26" x14ac:dyDescent="0.25">
      <c r="A72" s="164" t="s">
        <v>225</v>
      </c>
      <c r="B72" s="165" t="s">
        <v>226</v>
      </c>
      <c r="C72" s="166" t="s">
        <v>226</v>
      </c>
      <c r="D72" s="220">
        <v>380220813</v>
      </c>
      <c r="E72" s="220">
        <v>0</v>
      </c>
      <c r="F72" s="220">
        <f t="shared" si="4"/>
        <v>380220813</v>
      </c>
      <c r="G72" s="221">
        <v>2786.9900000000002</v>
      </c>
      <c r="H72" s="167">
        <v>6.6509999999999998</v>
      </c>
      <c r="I72" s="168">
        <v>0.57599999999999996</v>
      </c>
      <c r="J72" s="166">
        <v>6.0750000000000002</v>
      </c>
      <c r="K72" s="169">
        <v>0</v>
      </c>
      <c r="L72" s="223">
        <v>0</v>
      </c>
      <c r="M72" s="169">
        <v>0</v>
      </c>
      <c r="N72" s="166">
        <v>0</v>
      </c>
      <c r="O72" s="222">
        <v>2.464</v>
      </c>
      <c r="P72" s="169">
        <v>7.0000000000000001E-3</v>
      </c>
      <c r="Q72" s="171">
        <f t="shared" si="5"/>
        <v>8.5459999999999994</v>
      </c>
      <c r="R72" s="168">
        <v>0</v>
      </c>
      <c r="S72" s="170">
        <v>0.36199999999999999</v>
      </c>
      <c r="T72" s="170">
        <v>0</v>
      </c>
      <c r="U72" s="170">
        <v>0</v>
      </c>
      <c r="V72" s="170">
        <v>0</v>
      </c>
      <c r="W72" s="168">
        <f t="shared" si="6"/>
        <v>8.9079999999999995</v>
      </c>
      <c r="X72" s="228">
        <v>8.9109999999999996</v>
      </c>
      <c r="Y72" s="220">
        <v>5108189.07</v>
      </c>
      <c r="Z72" s="220">
        <v>2638857</v>
      </c>
    </row>
    <row r="73" spans="1:26" x14ac:dyDescent="0.25">
      <c r="A73" s="164" t="s">
        <v>227</v>
      </c>
      <c r="B73" s="172" t="s">
        <v>228</v>
      </c>
      <c r="C73" s="173" t="s">
        <v>229</v>
      </c>
      <c r="D73" s="220">
        <v>122823480</v>
      </c>
      <c r="E73" s="220">
        <v>0</v>
      </c>
      <c r="F73" s="220">
        <f t="shared" si="4"/>
        <v>122823480</v>
      </c>
      <c r="G73" s="221">
        <v>3576.8199999999997</v>
      </c>
      <c r="H73" s="167">
        <v>13.811</v>
      </c>
      <c r="I73" s="168">
        <v>0</v>
      </c>
      <c r="J73" s="166">
        <v>13.811</v>
      </c>
      <c r="K73" s="169">
        <v>0</v>
      </c>
      <c r="L73" s="170">
        <v>0</v>
      </c>
      <c r="M73" s="169">
        <v>0</v>
      </c>
      <c r="N73" s="166">
        <v>0</v>
      </c>
      <c r="O73" s="222">
        <v>8.9559999999999995</v>
      </c>
      <c r="P73" s="169">
        <v>2.3E-2</v>
      </c>
      <c r="Q73" s="171">
        <f t="shared" si="5"/>
        <v>22.79</v>
      </c>
      <c r="R73" s="168">
        <v>7.2009999999999996</v>
      </c>
      <c r="S73" s="170">
        <v>0</v>
      </c>
      <c r="T73" s="170">
        <v>0</v>
      </c>
      <c r="U73" s="170">
        <v>0</v>
      </c>
      <c r="V73" s="170">
        <v>0</v>
      </c>
      <c r="W73" s="168">
        <f t="shared" si="6"/>
        <v>22.79</v>
      </c>
      <c r="X73" s="228">
        <v>40.435000000000002</v>
      </c>
      <c r="Y73" s="220">
        <v>5105332.01</v>
      </c>
      <c r="Z73" s="220">
        <v>3002692.6</v>
      </c>
    </row>
    <row r="74" spans="1:26" x14ac:dyDescent="0.25">
      <c r="A74" s="164" t="s">
        <v>230</v>
      </c>
      <c r="B74" s="165" t="s">
        <v>228</v>
      </c>
      <c r="C74" s="166" t="s">
        <v>231</v>
      </c>
      <c r="D74" s="220">
        <v>831773830</v>
      </c>
      <c r="E74" s="220">
        <v>0</v>
      </c>
      <c r="F74" s="220">
        <f t="shared" si="4"/>
        <v>831773830</v>
      </c>
      <c r="G74" s="221">
        <v>54496.84</v>
      </c>
      <c r="H74" s="167">
        <v>12.776999999999999</v>
      </c>
      <c r="I74" s="168">
        <v>0</v>
      </c>
      <c r="J74" s="166">
        <v>12.776999999999999</v>
      </c>
      <c r="K74" s="169">
        <v>0</v>
      </c>
      <c r="L74" s="170">
        <v>0</v>
      </c>
      <c r="M74" s="169">
        <v>0.94299999999999995</v>
      </c>
      <c r="N74" s="166">
        <v>0</v>
      </c>
      <c r="O74" s="222">
        <v>2.7770000000000001</v>
      </c>
      <c r="P74" s="169">
        <v>6.6000000000000003E-2</v>
      </c>
      <c r="Q74" s="171">
        <f t="shared" si="5"/>
        <v>16.562999999999999</v>
      </c>
      <c r="R74" s="168">
        <v>7.8</v>
      </c>
      <c r="S74" s="170">
        <v>0.36099999999999999</v>
      </c>
      <c r="T74" s="170">
        <v>0</v>
      </c>
      <c r="U74" s="170">
        <v>0</v>
      </c>
      <c r="V74" s="170">
        <v>0</v>
      </c>
      <c r="W74" s="168">
        <f t="shared" si="6"/>
        <v>16.923999999999999</v>
      </c>
      <c r="X74" s="228">
        <v>14.66</v>
      </c>
      <c r="Y74" s="220">
        <v>12919929.119999999</v>
      </c>
      <c r="Z74" s="220">
        <v>1565573</v>
      </c>
    </row>
    <row r="75" spans="1:26" x14ac:dyDescent="0.25">
      <c r="A75" s="164" t="s">
        <v>232</v>
      </c>
      <c r="B75" s="165" t="s">
        <v>233</v>
      </c>
      <c r="C75" s="166" t="s">
        <v>233</v>
      </c>
      <c r="D75" s="220">
        <v>777517113</v>
      </c>
      <c r="E75" s="220">
        <v>-13915920</v>
      </c>
      <c r="F75" s="220">
        <f t="shared" si="4"/>
        <v>763601193</v>
      </c>
      <c r="G75" s="221">
        <v>43700</v>
      </c>
      <c r="H75" s="167">
        <v>15.736000000000001</v>
      </c>
      <c r="I75" s="168">
        <v>0</v>
      </c>
      <c r="J75" s="166">
        <v>15.736000000000001</v>
      </c>
      <c r="K75" s="169">
        <v>0</v>
      </c>
      <c r="L75" s="170">
        <v>0</v>
      </c>
      <c r="M75" s="169">
        <v>0</v>
      </c>
      <c r="N75" s="166">
        <v>0</v>
      </c>
      <c r="O75" s="222">
        <v>4.9749999999999996</v>
      </c>
      <c r="P75" s="169">
        <v>5.7000000000000002E-2</v>
      </c>
      <c r="Q75" s="171">
        <f t="shared" si="5"/>
        <v>20.767999999999997</v>
      </c>
      <c r="R75" s="168">
        <v>12.23</v>
      </c>
      <c r="S75" s="170">
        <v>0</v>
      </c>
      <c r="T75" s="170">
        <v>0</v>
      </c>
      <c r="U75" s="170">
        <v>0</v>
      </c>
      <c r="V75" s="170">
        <v>0</v>
      </c>
      <c r="W75" s="168">
        <f t="shared" si="6"/>
        <v>20.767999999999997</v>
      </c>
      <c r="X75" s="228">
        <v>25.154</v>
      </c>
      <c r="Y75" s="220">
        <v>19975143.93</v>
      </c>
      <c r="Z75" s="220">
        <v>7196020</v>
      </c>
    </row>
    <row r="76" spans="1:26" x14ac:dyDescent="0.25">
      <c r="A76" s="164" t="s">
        <v>234</v>
      </c>
      <c r="B76" s="165" t="s">
        <v>235</v>
      </c>
      <c r="C76" s="166" t="s">
        <v>235</v>
      </c>
      <c r="D76" s="220">
        <v>56488630</v>
      </c>
      <c r="E76" s="220">
        <v>0</v>
      </c>
      <c r="F76" s="220">
        <f t="shared" si="4"/>
        <v>56488630</v>
      </c>
      <c r="G76" s="221">
        <v>0</v>
      </c>
      <c r="H76" s="167">
        <v>19.067</v>
      </c>
      <c r="I76" s="168">
        <v>0.46800000000000003</v>
      </c>
      <c r="J76" s="166">
        <v>18.599</v>
      </c>
      <c r="K76" s="169">
        <v>0</v>
      </c>
      <c r="L76" s="170">
        <v>0</v>
      </c>
      <c r="M76" s="169">
        <v>0</v>
      </c>
      <c r="N76" s="166">
        <v>0</v>
      </c>
      <c r="O76" s="222">
        <v>0</v>
      </c>
      <c r="P76" s="169">
        <v>0</v>
      </c>
      <c r="Q76" s="171">
        <f t="shared" si="5"/>
        <v>18.599</v>
      </c>
      <c r="R76" s="168">
        <v>5.6449999999999996</v>
      </c>
      <c r="S76" s="170">
        <v>0</v>
      </c>
      <c r="T76" s="170">
        <v>0</v>
      </c>
      <c r="U76" s="170">
        <v>0</v>
      </c>
      <c r="V76" s="170">
        <v>0</v>
      </c>
      <c r="W76" s="168">
        <f t="shared" si="6"/>
        <v>18.599</v>
      </c>
      <c r="X76" s="228">
        <v>27.123000000000001</v>
      </c>
      <c r="Y76" s="220">
        <v>1619685.66</v>
      </c>
      <c r="Z76" s="220">
        <v>481686</v>
      </c>
    </row>
    <row r="77" spans="1:26" x14ac:dyDescent="0.25">
      <c r="A77" s="164" t="s">
        <v>236</v>
      </c>
      <c r="B77" s="172" t="s">
        <v>237</v>
      </c>
      <c r="C77" s="173" t="s">
        <v>237</v>
      </c>
      <c r="D77" s="220">
        <v>112754331</v>
      </c>
      <c r="E77" s="220">
        <v>-338856</v>
      </c>
      <c r="F77" s="220">
        <f t="shared" si="4"/>
        <v>112415475</v>
      </c>
      <c r="G77" s="221">
        <v>15867.87</v>
      </c>
      <c r="H77" s="167">
        <v>27</v>
      </c>
      <c r="I77" s="168">
        <v>1.2190000000000001</v>
      </c>
      <c r="J77" s="166">
        <v>25.780999999999999</v>
      </c>
      <c r="K77" s="169">
        <v>0</v>
      </c>
      <c r="L77" s="170">
        <v>0</v>
      </c>
      <c r="M77" s="169">
        <v>0</v>
      </c>
      <c r="N77" s="166">
        <v>0</v>
      </c>
      <c r="O77" s="222">
        <v>0</v>
      </c>
      <c r="P77" s="169">
        <v>0.14099999999999999</v>
      </c>
      <c r="Q77" s="171">
        <f t="shared" si="5"/>
        <v>25.921999999999997</v>
      </c>
      <c r="R77" s="168">
        <v>9.532</v>
      </c>
      <c r="S77" s="170">
        <v>0</v>
      </c>
      <c r="T77" s="170">
        <v>0</v>
      </c>
      <c r="U77" s="170">
        <v>0</v>
      </c>
      <c r="V77" s="170">
        <v>0</v>
      </c>
      <c r="W77" s="168">
        <f t="shared" si="6"/>
        <v>25.921999999999997</v>
      </c>
      <c r="X77" s="228">
        <v>50.658000000000001</v>
      </c>
      <c r="Y77" s="220">
        <v>5673908.8499999996</v>
      </c>
      <c r="Z77" s="220">
        <v>2647960</v>
      </c>
    </row>
    <row r="78" spans="1:26" x14ac:dyDescent="0.25">
      <c r="A78" s="164" t="s">
        <v>238</v>
      </c>
      <c r="B78" s="165" t="s">
        <v>237</v>
      </c>
      <c r="C78" s="166" t="s">
        <v>239</v>
      </c>
      <c r="D78" s="220">
        <v>33389183</v>
      </c>
      <c r="E78" s="220">
        <v>0</v>
      </c>
      <c r="F78" s="220">
        <f t="shared" si="4"/>
        <v>33389183</v>
      </c>
      <c r="G78" s="221">
        <v>0</v>
      </c>
      <c r="H78" s="167">
        <v>27</v>
      </c>
      <c r="I78" s="168">
        <v>0</v>
      </c>
      <c r="J78" s="166">
        <v>27</v>
      </c>
      <c r="K78" s="169">
        <v>0</v>
      </c>
      <c r="L78" s="170">
        <v>0</v>
      </c>
      <c r="M78" s="169">
        <v>0</v>
      </c>
      <c r="N78" s="166">
        <v>0</v>
      </c>
      <c r="O78" s="222">
        <v>0</v>
      </c>
      <c r="P78" s="169">
        <v>0</v>
      </c>
      <c r="Q78" s="171">
        <f t="shared" si="5"/>
        <v>27</v>
      </c>
      <c r="R78" s="168">
        <v>13.417999999999999</v>
      </c>
      <c r="S78" s="170">
        <v>0</v>
      </c>
      <c r="T78" s="170">
        <v>0</v>
      </c>
      <c r="U78" s="170">
        <v>0</v>
      </c>
      <c r="V78" s="170">
        <v>0</v>
      </c>
      <c r="W78" s="168">
        <f t="shared" si="6"/>
        <v>27</v>
      </c>
      <c r="X78" s="228">
        <v>95.105999999999995</v>
      </c>
      <c r="Y78" s="220">
        <v>3129044.67</v>
      </c>
      <c r="Z78" s="220">
        <v>2168737</v>
      </c>
    </row>
    <row r="79" spans="1:26" x14ac:dyDescent="0.25">
      <c r="A79" s="164" t="s">
        <v>240</v>
      </c>
      <c r="B79" s="165" t="s">
        <v>241</v>
      </c>
      <c r="C79" s="166" t="s">
        <v>242</v>
      </c>
      <c r="D79" s="220">
        <v>88632077</v>
      </c>
      <c r="E79" s="220">
        <v>0</v>
      </c>
      <c r="F79" s="220">
        <f t="shared" si="4"/>
        <v>88632077</v>
      </c>
      <c r="G79" s="221">
        <v>22579.100000000002</v>
      </c>
      <c r="H79" s="167">
        <v>23.041</v>
      </c>
      <c r="I79" s="168">
        <v>0</v>
      </c>
      <c r="J79" s="166">
        <v>23.041</v>
      </c>
      <c r="K79" s="169">
        <v>0</v>
      </c>
      <c r="L79" s="170">
        <v>0</v>
      </c>
      <c r="M79" s="169">
        <v>0</v>
      </c>
      <c r="N79" s="166">
        <v>0</v>
      </c>
      <c r="O79" s="222">
        <v>0</v>
      </c>
      <c r="P79" s="169">
        <v>0.254</v>
      </c>
      <c r="Q79" s="171">
        <f t="shared" si="5"/>
        <v>23.295000000000002</v>
      </c>
      <c r="R79" s="168">
        <v>0</v>
      </c>
      <c r="S79" s="170">
        <v>0</v>
      </c>
      <c r="T79" s="170">
        <v>0</v>
      </c>
      <c r="U79" s="170">
        <v>0</v>
      </c>
      <c r="V79" s="170">
        <v>0</v>
      </c>
      <c r="W79" s="168">
        <f t="shared" si="6"/>
        <v>23.295000000000002</v>
      </c>
      <c r="X79" s="228">
        <v>27.652999999999999</v>
      </c>
      <c r="Y79" s="220">
        <v>2784567.23</v>
      </c>
      <c r="Z79" s="220">
        <v>408646</v>
      </c>
    </row>
    <row r="80" spans="1:26" x14ac:dyDescent="0.25">
      <c r="A80" s="164" t="s">
        <v>243</v>
      </c>
      <c r="B80" s="172" t="s">
        <v>244</v>
      </c>
      <c r="C80" s="173" t="s">
        <v>244</v>
      </c>
      <c r="D80" s="220">
        <v>12028500067</v>
      </c>
      <c r="E80" s="220">
        <v>-514769570</v>
      </c>
      <c r="F80" s="220">
        <f t="shared" si="4"/>
        <v>11513730497</v>
      </c>
      <c r="G80" s="221">
        <v>2536630.61</v>
      </c>
      <c r="H80" s="167">
        <v>27</v>
      </c>
      <c r="I80" s="168">
        <v>0</v>
      </c>
      <c r="J80" s="166">
        <v>27</v>
      </c>
      <c r="K80" s="169">
        <v>0</v>
      </c>
      <c r="L80" s="170">
        <v>0</v>
      </c>
      <c r="M80" s="169">
        <v>0</v>
      </c>
      <c r="N80" s="166">
        <v>0</v>
      </c>
      <c r="O80" s="222">
        <v>13.007</v>
      </c>
      <c r="P80" s="169">
        <v>0.22</v>
      </c>
      <c r="Q80" s="171">
        <f t="shared" si="5"/>
        <v>40.226999999999997</v>
      </c>
      <c r="R80" s="168">
        <v>5.9059999999999997</v>
      </c>
      <c r="S80" s="170">
        <v>0</v>
      </c>
      <c r="T80" s="170">
        <v>0</v>
      </c>
      <c r="U80" s="170">
        <v>0</v>
      </c>
      <c r="V80" s="170">
        <v>0</v>
      </c>
      <c r="W80" s="168">
        <f t="shared" si="6"/>
        <v>40.226999999999997</v>
      </c>
      <c r="X80" s="228">
        <v>64.701999999999998</v>
      </c>
      <c r="Y80" s="220">
        <v>772843770.21000004</v>
      </c>
      <c r="Z80" s="220">
        <v>434341832</v>
      </c>
    </row>
    <row r="81" spans="1:26" x14ac:dyDescent="0.25">
      <c r="A81" s="164" t="s">
        <v>245</v>
      </c>
      <c r="B81" s="165" t="s">
        <v>174</v>
      </c>
      <c r="C81" s="166" t="s">
        <v>246</v>
      </c>
      <c r="D81" s="220">
        <v>21902220</v>
      </c>
      <c r="E81" s="220">
        <v>0</v>
      </c>
      <c r="F81" s="220">
        <f t="shared" si="4"/>
        <v>21902220</v>
      </c>
      <c r="G81" s="221">
        <v>75.39</v>
      </c>
      <c r="H81" s="167">
        <v>27</v>
      </c>
      <c r="I81" s="168">
        <v>2.8010000000000002</v>
      </c>
      <c r="J81" s="166">
        <v>24.199000000000002</v>
      </c>
      <c r="K81" s="169">
        <v>0</v>
      </c>
      <c r="L81" s="170">
        <v>0</v>
      </c>
      <c r="M81" s="169">
        <v>0</v>
      </c>
      <c r="N81" s="166">
        <v>0</v>
      </c>
      <c r="O81" s="222">
        <v>0</v>
      </c>
      <c r="P81" s="169">
        <v>3.0000000000000001E-3</v>
      </c>
      <c r="Q81" s="171">
        <f t="shared" si="5"/>
        <v>24.202000000000002</v>
      </c>
      <c r="R81" s="168">
        <v>0</v>
      </c>
      <c r="S81" s="170">
        <v>0</v>
      </c>
      <c r="T81" s="170">
        <v>0</v>
      </c>
      <c r="U81" s="170">
        <v>0</v>
      </c>
      <c r="V81" s="170">
        <v>0</v>
      </c>
      <c r="W81" s="168">
        <f t="shared" si="6"/>
        <v>24.202000000000002</v>
      </c>
      <c r="X81" s="228">
        <v>130.65899999999999</v>
      </c>
      <c r="Y81" s="220">
        <v>2950892.52</v>
      </c>
      <c r="Z81" s="220">
        <v>2331506</v>
      </c>
    </row>
    <row r="82" spans="1:26" x14ac:dyDescent="0.25">
      <c r="A82" s="165" t="s">
        <v>247</v>
      </c>
      <c r="B82" s="172" t="s">
        <v>174</v>
      </c>
      <c r="C82" s="173" t="s">
        <v>248</v>
      </c>
      <c r="D82" s="220">
        <v>17687840</v>
      </c>
      <c r="E82" s="220">
        <v>0</v>
      </c>
      <c r="F82" s="220">
        <f t="shared" si="4"/>
        <v>17687840</v>
      </c>
      <c r="G82" s="221">
        <v>0</v>
      </c>
      <c r="H82" s="167">
        <v>27</v>
      </c>
      <c r="I82" s="168">
        <v>5.48</v>
      </c>
      <c r="J82" s="166">
        <v>21.52</v>
      </c>
      <c r="K82" s="169">
        <v>0</v>
      </c>
      <c r="L82" s="170">
        <v>0</v>
      </c>
      <c r="M82" s="169">
        <v>0</v>
      </c>
      <c r="N82" s="166">
        <v>0</v>
      </c>
      <c r="O82" s="222">
        <v>0</v>
      </c>
      <c r="P82" s="169">
        <v>0</v>
      </c>
      <c r="Q82" s="171">
        <f t="shared" si="5"/>
        <v>21.52</v>
      </c>
      <c r="R82" s="168">
        <v>0</v>
      </c>
      <c r="S82" s="170">
        <v>0</v>
      </c>
      <c r="T82" s="170">
        <v>0</v>
      </c>
      <c r="U82" s="170">
        <v>0</v>
      </c>
      <c r="V82" s="170">
        <v>0</v>
      </c>
      <c r="W82" s="168">
        <f t="shared" si="6"/>
        <v>21.52</v>
      </c>
      <c r="X82" s="228">
        <v>86.320999999999998</v>
      </c>
      <c r="Y82" s="220">
        <v>1590048.84</v>
      </c>
      <c r="Z82" s="220">
        <v>1146568</v>
      </c>
    </row>
    <row r="83" spans="1:26" x14ac:dyDescent="0.25">
      <c r="A83" s="164" t="s">
        <v>249</v>
      </c>
      <c r="B83" s="165" t="s">
        <v>139</v>
      </c>
      <c r="C83" s="166" t="s">
        <v>250</v>
      </c>
      <c r="D83" s="220">
        <v>42956593</v>
      </c>
      <c r="E83" s="220">
        <v>0</v>
      </c>
      <c r="F83" s="220">
        <f t="shared" si="4"/>
        <v>42956593</v>
      </c>
      <c r="G83" s="221">
        <v>346.54</v>
      </c>
      <c r="H83" s="167">
        <v>27</v>
      </c>
      <c r="I83" s="168">
        <v>0</v>
      </c>
      <c r="J83" s="166">
        <v>27</v>
      </c>
      <c r="K83" s="169">
        <v>0</v>
      </c>
      <c r="L83" s="170">
        <v>0</v>
      </c>
      <c r="M83" s="169">
        <v>0</v>
      </c>
      <c r="N83" s="166">
        <v>0</v>
      </c>
      <c r="O83" s="222">
        <v>0</v>
      </c>
      <c r="P83" s="169">
        <v>0</v>
      </c>
      <c r="Q83" s="171">
        <f t="shared" si="5"/>
        <v>27</v>
      </c>
      <c r="R83" s="168">
        <v>0</v>
      </c>
      <c r="S83" s="170">
        <v>0</v>
      </c>
      <c r="T83" s="170">
        <v>0</v>
      </c>
      <c r="U83" s="170">
        <v>0</v>
      </c>
      <c r="V83" s="170">
        <v>0</v>
      </c>
      <c r="W83" s="168">
        <f t="shared" si="6"/>
        <v>27</v>
      </c>
      <c r="X83" s="228">
        <v>53.728999999999999</v>
      </c>
      <c r="Y83" s="220">
        <v>2411575.94</v>
      </c>
      <c r="Z83" s="220">
        <v>1147961</v>
      </c>
    </row>
    <row r="84" spans="1:26" x14ac:dyDescent="0.25">
      <c r="A84" s="164" t="s">
        <v>251</v>
      </c>
      <c r="B84" s="172" t="s">
        <v>139</v>
      </c>
      <c r="C84" s="173" t="s">
        <v>252</v>
      </c>
      <c r="D84" s="220">
        <v>32266074</v>
      </c>
      <c r="E84" s="220">
        <v>0</v>
      </c>
      <c r="F84" s="220">
        <f t="shared" si="4"/>
        <v>32266074</v>
      </c>
      <c r="G84" s="221">
        <v>49.54</v>
      </c>
      <c r="H84" s="167">
        <v>24.334</v>
      </c>
      <c r="I84" s="168">
        <v>0</v>
      </c>
      <c r="J84" s="166">
        <v>24.334</v>
      </c>
      <c r="K84" s="169">
        <v>4.319</v>
      </c>
      <c r="L84" s="170">
        <v>0</v>
      </c>
      <c r="M84" s="169">
        <v>0</v>
      </c>
      <c r="N84" s="166">
        <v>0</v>
      </c>
      <c r="O84" s="222">
        <v>0</v>
      </c>
      <c r="P84" s="169">
        <v>0</v>
      </c>
      <c r="Q84" s="171">
        <f t="shared" si="5"/>
        <v>28.652999999999999</v>
      </c>
      <c r="R84" s="168">
        <v>6.0880000000000001</v>
      </c>
      <c r="S84" s="170">
        <v>0</v>
      </c>
      <c r="T84" s="170">
        <v>0</v>
      </c>
      <c r="U84" s="170">
        <v>0</v>
      </c>
      <c r="V84" s="170">
        <v>0</v>
      </c>
      <c r="W84" s="168">
        <f t="shared" si="6"/>
        <v>28.652999999999999</v>
      </c>
      <c r="X84" s="228">
        <v>71.391999999999996</v>
      </c>
      <c r="Y84" s="220">
        <v>2490848.86</v>
      </c>
      <c r="Z84" s="220">
        <v>1584047</v>
      </c>
    </row>
    <row r="85" spans="1:26" x14ac:dyDescent="0.25">
      <c r="A85" s="164" t="s">
        <v>253</v>
      </c>
      <c r="B85" s="165" t="s">
        <v>139</v>
      </c>
      <c r="C85" s="166" t="s">
        <v>254</v>
      </c>
      <c r="D85" s="220">
        <v>23013186</v>
      </c>
      <c r="E85" s="220">
        <v>0</v>
      </c>
      <c r="F85" s="220">
        <f t="shared" si="4"/>
        <v>23013186</v>
      </c>
      <c r="G85" s="221">
        <v>1688.49</v>
      </c>
      <c r="H85" s="167">
        <v>27</v>
      </c>
      <c r="I85" s="168">
        <v>0</v>
      </c>
      <c r="J85" s="166">
        <v>27</v>
      </c>
      <c r="K85" s="169">
        <v>0</v>
      </c>
      <c r="L85" s="170">
        <v>0</v>
      </c>
      <c r="M85" s="169">
        <v>0</v>
      </c>
      <c r="N85" s="166">
        <v>0</v>
      </c>
      <c r="O85" s="222">
        <v>7.5</v>
      </c>
      <c r="P85" s="169">
        <v>0</v>
      </c>
      <c r="Q85" s="171">
        <f t="shared" si="5"/>
        <v>34.5</v>
      </c>
      <c r="R85" s="168">
        <v>0</v>
      </c>
      <c r="S85" s="170">
        <v>0</v>
      </c>
      <c r="T85" s="170">
        <v>0</v>
      </c>
      <c r="U85" s="170">
        <v>0</v>
      </c>
      <c r="V85" s="170">
        <v>0</v>
      </c>
      <c r="W85" s="168">
        <f t="shared" si="6"/>
        <v>34.5</v>
      </c>
      <c r="X85" s="228">
        <v>137.39099999999999</v>
      </c>
      <c r="Y85" s="220">
        <v>3239768.81</v>
      </c>
      <c r="Z85" s="220">
        <v>2543783</v>
      </c>
    </row>
    <row r="86" spans="1:26" x14ac:dyDescent="0.25">
      <c r="A86" s="165" t="s">
        <v>255</v>
      </c>
      <c r="B86" s="172" t="s">
        <v>139</v>
      </c>
      <c r="C86" s="173" t="s">
        <v>256</v>
      </c>
      <c r="D86" s="220">
        <v>17435050</v>
      </c>
      <c r="E86" s="220">
        <v>0</v>
      </c>
      <c r="F86" s="220">
        <f t="shared" si="4"/>
        <v>17435050</v>
      </c>
      <c r="G86" s="221">
        <v>298.31</v>
      </c>
      <c r="H86" s="167">
        <v>27</v>
      </c>
      <c r="I86" s="168">
        <v>2.8119999999999998</v>
      </c>
      <c r="J86" s="166">
        <v>24.187999999999999</v>
      </c>
      <c r="K86" s="169">
        <v>0</v>
      </c>
      <c r="L86" s="170">
        <v>0</v>
      </c>
      <c r="M86" s="169">
        <v>0</v>
      </c>
      <c r="N86" s="166">
        <v>0</v>
      </c>
      <c r="O86" s="222">
        <v>14.2</v>
      </c>
      <c r="P86" s="169">
        <v>1.7000000000000001E-2</v>
      </c>
      <c r="Q86" s="171">
        <f t="shared" si="5"/>
        <v>38.405000000000001</v>
      </c>
      <c r="R86" s="168">
        <v>0</v>
      </c>
      <c r="S86" s="170">
        <v>0</v>
      </c>
      <c r="T86" s="170">
        <v>0</v>
      </c>
      <c r="U86" s="170">
        <v>0</v>
      </c>
      <c r="V86" s="170">
        <v>0</v>
      </c>
      <c r="W86" s="168">
        <f t="shared" si="6"/>
        <v>38.405000000000001</v>
      </c>
      <c r="X86" s="228">
        <v>114.437</v>
      </c>
      <c r="Y86" s="220">
        <v>2032511.16</v>
      </c>
      <c r="Z86" s="220">
        <v>1574507</v>
      </c>
    </row>
    <row r="87" spans="1:26" x14ac:dyDescent="0.25">
      <c r="A87" s="164" t="s">
        <v>257</v>
      </c>
      <c r="B87" s="165" t="s">
        <v>139</v>
      </c>
      <c r="C87" s="166" t="s">
        <v>258</v>
      </c>
      <c r="D87" s="220">
        <v>108516191</v>
      </c>
      <c r="E87" s="220">
        <v>0</v>
      </c>
      <c r="F87" s="220">
        <f t="shared" si="4"/>
        <v>108516191</v>
      </c>
      <c r="G87" s="221">
        <v>2894.39</v>
      </c>
      <c r="H87" s="167">
        <v>27</v>
      </c>
      <c r="I87" s="168">
        <v>0.82</v>
      </c>
      <c r="J87" s="166">
        <v>26.18</v>
      </c>
      <c r="K87" s="169">
        <v>0</v>
      </c>
      <c r="L87" s="170">
        <v>0</v>
      </c>
      <c r="M87" s="169">
        <v>0</v>
      </c>
      <c r="N87" s="166">
        <v>0</v>
      </c>
      <c r="O87" s="222">
        <v>3.5150000000000001</v>
      </c>
      <c r="P87" s="169">
        <v>2.7E-2</v>
      </c>
      <c r="Q87" s="171">
        <f t="shared" si="5"/>
        <v>29.722000000000001</v>
      </c>
      <c r="R87" s="168">
        <v>0</v>
      </c>
      <c r="S87" s="170">
        <v>0</v>
      </c>
      <c r="T87" s="170">
        <v>0</v>
      </c>
      <c r="U87" s="170">
        <v>0</v>
      </c>
      <c r="V87" s="170">
        <v>0</v>
      </c>
      <c r="W87" s="168">
        <f t="shared" si="6"/>
        <v>29.722000000000001</v>
      </c>
      <c r="X87" s="228">
        <v>65.900000000000006</v>
      </c>
      <c r="Y87" s="220">
        <v>7403011.4000000004</v>
      </c>
      <c r="Z87" s="220">
        <v>4310511</v>
      </c>
    </row>
    <row r="88" spans="1:26" x14ac:dyDescent="0.25">
      <c r="A88" s="164" t="s">
        <v>259</v>
      </c>
      <c r="B88" s="165" t="s">
        <v>260</v>
      </c>
      <c r="C88" s="166" t="s">
        <v>260</v>
      </c>
      <c r="D88" s="220">
        <v>310790445</v>
      </c>
      <c r="E88" s="220">
        <v>-1384314</v>
      </c>
      <c r="F88" s="220">
        <f t="shared" si="4"/>
        <v>309406131</v>
      </c>
      <c r="G88" s="221">
        <v>17395</v>
      </c>
      <c r="H88" s="167">
        <v>26.513999999999999</v>
      </c>
      <c r="I88" s="168">
        <v>1.0449999999999999</v>
      </c>
      <c r="J88" s="166">
        <v>25.469000000000001</v>
      </c>
      <c r="K88" s="169">
        <v>0</v>
      </c>
      <c r="L88" s="170">
        <v>0</v>
      </c>
      <c r="M88" s="169">
        <v>0</v>
      </c>
      <c r="N88" s="166">
        <v>0</v>
      </c>
      <c r="O88" s="222">
        <v>2.1589999999999998</v>
      </c>
      <c r="P88" s="169">
        <v>5.6000000000000001E-2</v>
      </c>
      <c r="Q88" s="171">
        <f t="shared" si="5"/>
        <v>27.684000000000001</v>
      </c>
      <c r="R88" s="168">
        <v>6.1539999999999999</v>
      </c>
      <c r="S88" s="170">
        <v>0</v>
      </c>
      <c r="T88" s="170">
        <v>0</v>
      </c>
      <c r="U88" s="170">
        <v>0</v>
      </c>
      <c r="V88" s="170">
        <v>0</v>
      </c>
      <c r="W88" s="168">
        <f t="shared" si="6"/>
        <v>27.684000000000001</v>
      </c>
      <c r="X88" s="228">
        <v>32.200000000000003</v>
      </c>
      <c r="Y88" s="220">
        <v>10361280.5</v>
      </c>
      <c r="Z88" s="220">
        <v>2082896</v>
      </c>
    </row>
    <row r="89" spans="1:26" x14ac:dyDescent="0.25">
      <c r="A89" s="164" t="s">
        <v>261</v>
      </c>
      <c r="B89" s="165" t="s">
        <v>262</v>
      </c>
      <c r="C89" s="166" t="s">
        <v>263</v>
      </c>
      <c r="D89" s="220">
        <v>1414177160</v>
      </c>
      <c r="E89" s="220">
        <v>-2642207</v>
      </c>
      <c r="F89" s="220">
        <f t="shared" si="4"/>
        <v>1411534953</v>
      </c>
      <c r="G89" s="221">
        <v>239515</v>
      </c>
      <c r="H89" s="167">
        <v>12.747999999999999</v>
      </c>
      <c r="I89" s="168">
        <v>4.1470000000000002</v>
      </c>
      <c r="J89" s="166">
        <v>8.6010000000000009</v>
      </c>
      <c r="K89" s="169">
        <v>0</v>
      </c>
      <c r="L89" s="170">
        <v>0</v>
      </c>
      <c r="M89" s="169">
        <v>1.857</v>
      </c>
      <c r="N89" s="166">
        <v>0</v>
      </c>
      <c r="O89" s="222">
        <v>8.5709999999999997</v>
      </c>
      <c r="P89" s="169">
        <v>0.17</v>
      </c>
      <c r="Q89" s="171">
        <f t="shared" si="5"/>
        <v>19.199000000000002</v>
      </c>
      <c r="R89" s="168">
        <v>5.7759999999999998</v>
      </c>
      <c r="S89" s="170">
        <v>0</v>
      </c>
      <c r="T89" s="170">
        <v>0</v>
      </c>
      <c r="U89" s="170">
        <v>0</v>
      </c>
      <c r="V89" s="170">
        <v>0</v>
      </c>
      <c r="W89" s="168">
        <f t="shared" si="6"/>
        <v>19.199000000000002</v>
      </c>
      <c r="X89" s="228">
        <v>40.146000000000001</v>
      </c>
      <c r="Y89" s="220">
        <v>57748531.310000002</v>
      </c>
      <c r="Z89" s="220">
        <v>58881370</v>
      </c>
    </row>
    <row r="90" spans="1:26" x14ac:dyDescent="0.25">
      <c r="A90" s="164" t="s">
        <v>264</v>
      </c>
      <c r="B90" s="172" t="s">
        <v>262</v>
      </c>
      <c r="C90" s="173" t="s">
        <v>265</v>
      </c>
      <c r="D90" s="220">
        <v>219233740</v>
      </c>
      <c r="E90" s="220">
        <v>0</v>
      </c>
      <c r="F90" s="220">
        <f t="shared" si="4"/>
        <v>219233740</v>
      </c>
      <c r="G90" s="221">
        <v>2750</v>
      </c>
      <c r="H90" s="167">
        <v>19.373000000000001</v>
      </c>
      <c r="I90" s="168">
        <v>9.1440000000000001</v>
      </c>
      <c r="J90" s="166">
        <v>10.228999999999999</v>
      </c>
      <c r="K90" s="169">
        <v>0</v>
      </c>
      <c r="L90" s="170">
        <v>0</v>
      </c>
      <c r="M90" s="169">
        <v>0.157</v>
      </c>
      <c r="N90" s="166">
        <v>0</v>
      </c>
      <c r="O90" s="222">
        <v>8.5570000000000004</v>
      </c>
      <c r="P90" s="169">
        <v>1.2999999999999999E-2</v>
      </c>
      <c r="Q90" s="171">
        <f t="shared" si="5"/>
        <v>18.956</v>
      </c>
      <c r="R90" s="168">
        <v>15.212</v>
      </c>
      <c r="S90" s="170">
        <v>0</v>
      </c>
      <c r="T90" s="170">
        <v>0</v>
      </c>
      <c r="U90" s="170">
        <v>0</v>
      </c>
      <c r="V90" s="170">
        <v>0</v>
      </c>
      <c r="W90" s="168">
        <f t="shared" si="6"/>
        <v>18.956</v>
      </c>
      <c r="X90" s="228">
        <v>62.156999999999996</v>
      </c>
      <c r="Y90" s="220">
        <v>14111193.9</v>
      </c>
      <c r="Z90" s="220">
        <v>11611883</v>
      </c>
    </row>
    <row r="91" spans="1:26" x14ac:dyDescent="0.25">
      <c r="A91" s="164" t="s">
        <v>266</v>
      </c>
      <c r="B91" s="165" t="s">
        <v>262</v>
      </c>
      <c r="C91" s="166" t="s">
        <v>267</v>
      </c>
      <c r="D91" s="220">
        <v>268860772</v>
      </c>
      <c r="E91" s="220">
        <v>0</v>
      </c>
      <c r="F91" s="220">
        <f t="shared" si="4"/>
        <v>268860772</v>
      </c>
      <c r="G91" s="221">
        <v>5666.1</v>
      </c>
      <c r="H91" s="167">
        <v>7.3310000000000004</v>
      </c>
      <c r="I91" s="168">
        <v>3.0569999999999999</v>
      </c>
      <c r="J91" s="166">
        <v>4.274</v>
      </c>
      <c r="K91" s="169">
        <v>0</v>
      </c>
      <c r="L91" s="170">
        <v>0</v>
      </c>
      <c r="M91" s="169">
        <v>0</v>
      </c>
      <c r="N91" s="166">
        <v>0</v>
      </c>
      <c r="O91" s="222">
        <v>4.0910000000000002</v>
      </c>
      <c r="P91" s="169">
        <v>8.9999999999999993E-3</v>
      </c>
      <c r="Q91" s="171">
        <f t="shared" si="5"/>
        <v>8.3740000000000006</v>
      </c>
      <c r="R91" s="168">
        <v>11.381</v>
      </c>
      <c r="S91" s="170">
        <v>0</v>
      </c>
      <c r="T91" s="170">
        <v>0</v>
      </c>
      <c r="U91" s="170">
        <v>0</v>
      </c>
      <c r="V91" s="170">
        <v>0</v>
      </c>
      <c r="W91" s="168">
        <f t="shared" si="6"/>
        <v>8.3740000000000006</v>
      </c>
      <c r="X91" s="228">
        <v>31.646000000000001</v>
      </c>
      <c r="Y91" s="220">
        <v>8571895.0299999993</v>
      </c>
      <c r="Z91" s="220">
        <v>7361652</v>
      </c>
    </row>
    <row r="92" spans="1:26" x14ac:dyDescent="0.25">
      <c r="A92" s="164" t="s">
        <v>268</v>
      </c>
      <c r="B92" s="165" t="s">
        <v>269</v>
      </c>
      <c r="C92" s="166" t="s">
        <v>270</v>
      </c>
      <c r="D92" s="220">
        <v>4143175927</v>
      </c>
      <c r="E92" s="220">
        <v>-232547024</v>
      </c>
      <c r="F92" s="220">
        <f t="shared" si="4"/>
        <v>3910628903</v>
      </c>
      <c r="G92" s="221">
        <v>1051676.3400000001</v>
      </c>
      <c r="H92" s="167">
        <v>27</v>
      </c>
      <c r="I92" s="168">
        <v>0</v>
      </c>
      <c r="J92" s="166">
        <v>27</v>
      </c>
      <c r="K92" s="169">
        <v>0</v>
      </c>
      <c r="L92" s="170">
        <v>0</v>
      </c>
      <c r="M92" s="169">
        <v>0</v>
      </c>
      <c r="N92" s="166">
        <v>0</v>
      </c>
      <c r="O92" s="222">
        <v>15.95</v>
      </c>
      <c r="P92" s="169">
        <v>0.26900000000000002</v>
      </c>
      <c r="Q92" s="171">
        <f t="shared" si="5"/>
        <v>43.219000000000001</v>
      </c>
      <c r="R92" s="168">
        <v>12.646000000000001</v>
      </c>
      <c r="S92" s="170">
        <v>0</v>
      </c>
      <c r="T92" s="170">
        <v>0</v>
      </c>
      <c r="U92" s="170">
        <v>0</v>
      </c>
      <c r="V92" s="170">
        <v>0</v>
      </c>
      <c r="W92" s="168">
        <f t="shared" si="6"/>
        <v>43.219000000000001</v>
      </c>
      <c r="X92" s="228">
        <v>75.923000000000002</v>
      </c>
      <c r="Y92" s="220">
        <v>305427921.31999999</v>
      </c>
      <c r="Z92" s="220">
        <v>191336733</v>
      </c>
    </row>
    <row r="93" spans="1:26" x14ac:dyDescent="0.25">
      <c r="A93" s="164" t="s">
        <v>271</v>
      </c>
      <c r="B93" s="165" t="s">
        <v>269</v>
      </c>
      <c r="C93" s="166" t="s">
        <v>272</v>
      </c>
      <c r="D93" s="220">
        <v>2856347479</v>
      </c>
      <c r="E93" s="220">
        <v>-173740516</v>
      </c>
      <c r="F93" s="220">
        <f t="shared" si="4"/>
        <v>2682606963</v>
      </c>
      <c r="G93" s="221">
        <v>655114.92000000004</v>
      </c>
      <c r="H93" s="167">
        <v>27</v>
      </c>
      <c r="I93" s="168">
        <v>2.64</v>
      </c>
      <c r="J93" s="166">
        <v>24.36</v>
      </c>
      <c r="K93" s="169">
        <v>0</v>
      </c>
      <c r="L93" s="170">
        <v>0</v>
      </c>
      <c r="M93" s="169">
        <v>0</v>
      </c>
      <c r="N93" s="166">
        <v>0</v>
      </c>
      <c r="O93" s="222">
        <v>12.834</v>
      </c>
      <c r="P93" s="169">
        <v>0.24399999999999999</v>
      </c>
      <c r="Q93" s="171">
        <f t="shared" si="5"/>
        <v>37.438000000000002</v>
      </c>
      <c r="R93" s="168">
        <v>7.133</v>
      </c>
      <c r="S93" s="170">
        <v>0</v>
      </c>
      <c r="T93" s="170">
        <v>0</v>
      </c>
      <c r="U93" s="170">
        <v>0</v>
      </c>
      <c r="V93" s="170">
        <v>0</v>
      </c>
      <c r="W93" s="168">
        <f t="shared" si="6"/>
        <v>37.438000000000002</v>
      </c>
      <c r="X93" s="228">
        <v>51.011000000000003</v>
      </c>
      <c r="Y93" s="220">
        <v>141314272.66</v>
      </c>
      <c r="Z93" s="220">
        <v>71556559</v>
      </c>
    </row>
    <row r="94" spans="1:26" x14ac:dyDescent="0.25">
      <c r="A94" s="164" t="s">
        <v>273</v>
      </c>
      <c r="B94" s="165" t="s">
        <v>269</v>
      </c>
      <c r="C94" s="166" t="s">
        <v>274</v>
      </c>
      <c r="D94" s="220">
        <v>466832311</v>
      </c>
      <c r="E94" s="220">
        <v>0</v>
      </c>
      <c r="F94" s="220">
        <f t="shared" si="4"/>
        <v>466832311</v>
      </c>
      <c r="G94" s="221">
        <v>73038.600000000006</v>
      </c>
      <c r="H94" s="167">
        <v>20.548999999999999</v>
      </c>
      <c r="I94" s="168">
        <v>0</v>
      </c>
      <c r="J94" s="166">
        <v>20.548999999999999</v>
      </c>
      <c r="K94" s="169">
        <v>0</v>
      </c>
      <c r="L94" s="170">
        <v>0</v>
      </c>
      <c r="M94" s="169">
        <v>0</v>
      </c>
      <c r="N94" s="166">
        <v>0</v>
      </c>
      <c r="O94" s="222">
        <v>6.4279999999999999</v>
      </c>
      <c r="P94" s="169">
        <v>0.156</v>
      </c>
      <c r="Q94" s="171">
        <f t="shared" si="5"/>
        <v>27.132999999999999</v>
      </c>
      <c r="R94" s="168">
        <v>3.6629999999999998</v>
      </c>
      <c r="S94" s="170">
        <v>0</v>
      </c>
      <c r="T94" s="170">
        <v>0</v>
      </c>
      <c r="U94" s="170">
        <v>0</v>
      </c>
      <c r="V94" s="170">
        <v>0</v>
      </c>
      <c r="W94" s="168">
        <f t="shared" si="6"/>
        <v>27.132999999999999</v>
      </c>
      <c r="X94" s="228">
        <v>21.763000000000002</v>
      </c>
      <c r="Y94" s="220">
        <v>10850547.109999999</v>
      </c>
      <c r="Z94" s="220">
        <v>566208</v>
      </c>
    </row>
    <row r="95" spans="1:26" x14ac:dyDescent="0.25">
      <c r="A95" s="164" t="s">
        <v>275</v>
      </c>
      <c r="B95" s="176" t="s">
        <v>125</v>
      </c>
      <c r="C95" s="177" t="s">
        <v>276</v>
      </c>
      <c r="D95" s="220">
        <v>147824343</v>
      </c>
      <c r="E95" s="220">
        <v>-410728</v>
      </c>
      <c r="F95" s="220">
        <f t="shared" si="4"/>
        <v>147413615</v>
      </c>
      <c r="G95" s="221">
        <v>460.33</v>
      </c>
      <c r="H95" s="167">
        <v>27</v>
      </c>
      <c r="I95" s="168">
        <v>12.573</v>
      </c>
      <c r="J95" s="166">
        <v>14.427</v>
      </c>
      <c r="K95" s="169">
        <v>0</v>
      </c>
      <c r="L95" s="170">
        <v>0</v>
      </c>
      <c r="M95" s="169">
        <v>0</v>
      </c>
      <c r="N95" s="166">
        <v>0</v>
      </c>
      <c r="O95" s="222">
        <v>0</v>
      </c>
      <c r="P95" s="169">
        <v>3.0000000000000001E-3</v>
      </c>
      <c r="Q95" s="171">
        <f t="shared" si="5"/>
        <v>14.43</v>
      </c>
      <c r="R95" s="168">
        <v>3.847</v>
      </c>
      <c r="S95" s="170">
        <v>0</v>
      </c>
      <c r="T95" s="170">
        <v>0</v>
      </c>
      <c r="U95" s="170">
        <v>0</v>
      </c>
      <c r="V95" s="170">
        <v>0</v>
      </c>
      <c r="W95" s="168">
        <f t="shared" si="6"/>
        <v>14.43</v>
      </c>
      <c r="X95" s="228">
        <v>64.061000000000007</v>
      </c>
      <c r="Y95" s="220">
        <v>9667081.9700000007</v>
      </c>
      <c r="Z95" s="220">
        <v>7318030</v>
      </c>
    </row>
    <row r="96" spans="1:26" x14ac:dyDescent="0.25">
      <c r="A96" s="164" t="s">
        <v>277</v>
      </c>
      <c r="B96" s="165" t="s">
        <v>125</v>
      </c>
      <c r="C96" s="166" t="s">
        <v>278</v>
      </c>
      <c r="D96" s="220">
        <v>125418805</v>
      </c>
      <c r="E96" s="220">
        <v>0</v>
      </c>
      <c r="F96" s="220">
        <f t="shared" si="4"/>
        <v>125418805</v>
      </c>
      <c r="G96" s="221">
        <v>67.25</v>
      </c>
      <c r="H96" s="167">
        <v>4.1689999999999996</v>
      </c>
      <c r="I96" s="168">
        <v>0.48899999999999999</v>
      </c>
      <c r="J96" s="166">
        <v>3.68</v>
      </c>
      <c r="K96" s="169">
        <v>0</v>
      </c>
      <c r="L96" s="170">
        <v>0</v>
      </c>
      <c r="M96" s="169">
        <v>0.628</v>
      </c>
      <c r="N96" s="166">
        <v>0</v>
      </c>
      <c r="O96" s="222">
        <v>2.7909999999999999</v>
      </c>
      <c r="P96" s="169">
        <v>1E-3</v>
      </c>
      <c r="Q96" s="171">
        <f t="shared" si="5"/>
        <v>7.1000000000000005</v>
      </c>
      <c r="R96" s="168">
        <v>7.4950000000000001</v>
      </c>
      <c r="S96" s="170">
        <v>0.996</v>
      </c>
      <c r="T96" s="170">
        <v>0</v>
      </c>
      <c r="U96" s="170">
        <v>0</v>
      </c>
      <c r="V96" s="170">
        <v>0</v>
      </c>
      <c r="W96" s="168">
        <f t="shared" si="6"/>
        <v>8.0960000000000001</v>
      </c>
      <c r="X96" s="228">
        <v>26.396999999999998</v>
      </c>
      <c r="Y96" s="220">
        <v>3354540.33</v>
      </c>
      <c r="Z96" s="220">
        <v>2849788</v>
      </c>
    </row>
    <row r="97" spans="1:26" x14ac:dyDescent="0.25">
      <c r="A97" s="164" t="s">
        <v>279</v>
      </c>
      <c r="B97" s="172" t="s">
        <v>125</v>
      </c>
      <c r="C97" s="173" t="s">
        <v>280</v>
      </c>
      <c r="D97" s="220">
        <v>55528664</v>
      </c>
      <c r="E97" s="220">
        <v>-50764</v>
      </c>
      <c r="F97" s="220">
        <f t="shared" si="4"/>
        <v>55477900</v>
      </c>
      <c r="G97" s="221">
        <v>207.43</v>
      </c>
      <c r="H97" s="167">
        <v>27</v>
      </c>
      <c r="I97" s="168">
        <v>2.3420000000000001</v>
      </c>
      <c r="J97" s="166">
        <v>24.658000000000001</v>
      </c>
      <c r="K97" s="169">
        <v>0</v>
      </c>
      <c r="L97" s="170">
        <v>0</v>
      </c>
      <c r="M97" s="169">
        <v>0</v>
      </c>
      <c r="N97" s="166">
        <v>0</v>
      </c>
      <c r="O97" s="222">
        <v>0</v>
      </c>
      <c r="P97" s="169">
        <v>4.0000000000000001E-3</v>
      </c>
      <c r="Q97" s="171">
        <f t="shared" si="5"/>
        <v>24.662000000000003</v>
      </c>
      <c r="R97" s="168">
        <v>4.5</v>
      </c>
      <c r="S97" s="170">
        <v>0</v>
      </c>
      <c r="T97" s="170">
        <v>0</v>
      </c>
      <c r="U97" s="170">
        <v>0</v>
      </c>
      <c r="V97" s="170">
        <v>0</v>
      </c>
      <c r="W97" s="168">
        <f t="shared" si="6"/>
        <v>24.662000000000003</v>
      </c>
      <c r="X97" s="228">
        <v>72.191999999999993</v>
      </c>
      <c r="Y97" s="220">
        <v>4217199.87</v>
      </c>
      <c r="Z97" s="220">
        <v>2636212</v>
      </c>
    </row>
    <row r="98" spans="1:26" x14ac:dyDescent="0.25">
      <c r="A98" s="164" t="s">
        <v>281</v>
      </c>
      <c r="B98" s="172" t="s">
        <v>125</v>
      </c>
      <c r="C98" s="173" t="s">
        <v>282</v>
      </c>
      <c r="D98" s="220">
        <v>52766447</v>
      </c>
      <c r="E98" s="220">
        <v>0</v>
      </c>
      <c r="F98" s="220">
        <f t="shared" si="4"/>
        <v>52766447</v>
      </c>
      <c r="G98" s="221">
        <v>88.89</v>
      </c>
      <c r="H98" s="167">
        <v>23.288</v>
      </c>
      <c r="I98" s="168">
        <v>12.768000000000001</v>
      </c>
      <c r="J98" s="166">
        <v>10.52</v>
      </c>
      <c r="K98" s="169">
        <v>0</v>
      </c>
      <c r="L98" s="170">
        <v>0</v>
      </c>
      <c r="M98" s="169">
        <v>0.56200000000000006</v>
      </c>
      <c r="N98" s="166">
        <v>0</v>
      </c>
      <c r="O98" s="222">
        <v>0</v>
      </c>
      <c r="P98" s="169">
        <v>2E-3</v>
      </c>
      <c r="Q98" s="171">
        <f t="shared" si="5"/>
        <v>11.084</v>
      </c>
      <c r="R98" s="168">
        <v>0</v>
      </c>
      <c r="S98" s="170">
        <v>0</v>
      </c>
      <c r="T98" s="170">
        <v>0</v>
      </c>
      <c r="U98" s="170">
        <v>0</v>
      </c>
      <c r="V98" s="170">
        <v>0</v>
      </c>
      <c r="W98" s="168">
        <f t="shared" si="6"/>
        <v>11.084</v>
      </c>
      <c r="X98" s="228">
        <v>36.118000000000002</v>
      </c>
      <c r="Y98" s="220">
        <v>1969085.4</v>
      </c>
      <c r="Z98" s="220">
        <v>1350583</v>
      </c>
    </row>
    <row r="99" spans="1:26" x14ac:dyDescent="0.25">
      <c r="A99" s="164" t="s">
        <v>283</v>
      </c>
      <c r="B99" s="165" t="s">
        <v>125</v>
      </c>
      <c r="C99" s="166" t="s">
        <v>284</v>
      </c>
      <c r="D99" s="220">
        <v>19864971</v>
      </c>
      <c r="E99" s="220">
        <v>0</v>
      </c>
      <c r="F99" s="220">
        <f t="shared" si="4"/>
        <v>19864971</v>
      </c>
      <c r="G99" s="221">
        <v>102.99</v>
      </c>
      <c r="H99" s="167">
        <v>21.616</v>
      </c>
      <c r="I99" s="168">
        <v>0</v>
      </c>
      <c r="J99" s="166">
        <v>21.616</v>
      </c>
      <c r="K99" s="169">
        <v>0</v>
      </c>
      <c r="L99" s="170">
        <v>0</v>
      </c>
      <c r="M99" s="169">
        <v>0</v>
      </c>
      <c r="N99" s="166">
        <v>0</v>
      </c>
      <c r="O99" s="222">
        <v>6.64</v>
      </c>
      <c r="P99" s="169">
        <v>0</v>
      </c>
      <c r="Q99" s="171">
        <f t="shared" si="5"/>
        <v>28.256</v>
      </c>
      <c r="R99" s="168">
        <v>0</v>
      </c>
      <c r="S99" s="170">
        <v>0</v>
      </c>
      <c r="T99" s="170">
        <v>0</v>
      </c>
      <c r="U99" s="170">
        <v>0</v>
      </c>
      <c r="V99" s="170">
        <v>0</v>
      </c>
      <c r="W99" s="168">
        <f t="shared" si="6"/>
        <v>28.256</v>
      </c>
      <c r="X99" s="228">
        <v>224.261</v>
      </c>
      <c r="Y99" s="220">
        <v>4496356.8899999997</v>
      </c>
      <c r="Z99" s="220">
        <v>4024605</v>
      </c>
    </row>
    <row r="100" spans="1:26" x14ac:dyDescent="0.25">
      <c r="A100" s="165" t="s">
        <v>285</v>
      </c>
      <c r="B100" s="172" t="s">
        <v>125</v>
      </c>
      <c r="C100" s="173" t="s">
        <v>286</v>
      </c>
      <c r="D100" s="220">
        <v>25512170</v>
      </c>
      <c r="E100" s="220">
        <v>0</v>
      </c>
      <c r="F100" s="220">
        <f t="shared" si="4"/>
        <v>25512170</v>
      </c>
      <c r="G100" s="221">
        <v>60.4</v>
      </c>
      <c r="H100" s="167">
        <v>27</v>
      </c>
      <c r="I100" s="168">
        <v>14.021000000000001</v>
      </c>
      <c r="J100" s="166">
        <v>12.978999999999999</v>
      </c>
      <c r="K100" s="169">
        <v>0</v>
      </c>
      <c r="L100" s="170">
        <v>0</v>
      </c>
      <c r="M100" s="169">
        <v>1.111</v>
      </c>
      <c r="N100" s="166">
        <v>0</v>
      </c>
      <c r="O100" s="222">
        <v>6.7279999999999998</v>
      </c>
      <c r="P100" s="169">
        <v>2E-3</v>
      </c>
      <c r="Q100" s="171">
        <f t="shared" si="5"/>
        <v>20.819999999999997</v>
      </c>
      <c r="R100" s="168">
        <v>9.0150000000000006</v>
      </c>
      <c r="S100" s="170">
        <v>0</v>
      </c>
      <c r="T100" s="170">
        <v>0</v>
      </c>
      <c r="U100" s="170">
        <v>0</v>
      </c>
      <c r="V100" s="170">
        <v>0</v>
      </c>
      <c r="W100" s="168">
        <f t="shared" si="6"/>
        <v>20.819999999999997</v>
      </c>
      <c r="X100" s="228">
        <v>35.000999999999998</v>
      </c>
      <c r="Y100" s="220">
        <v>927869.74</v>
      </c>
      <c r="Z100" s="220">
        <v>561808</v>
      </c>
    </row>
    <row r="101" spans="1:26" x14ac:dyDescent="0.25">
      <c r="A101" s="164" t="s">
        <v>287</v>
      </c>
      <c r="B101" s="165" t="s">
        <v>288</v>
      </c>
      <c r="C101" s="166" t="s">
        <v>289</v>
      </c>
      <c r="D101" s="220">
        <v>71534994</v>
      </c>
      <c r="E101" s="220">
        <v>0</v>
      </c>
      <c r="F101" s="220">
        <f t="shared" si="4"/>
        <v>71534994</v>
      </c>
      <c r="G101" s="221">
        <v>795.62</v>
      </c>
      <c r="H101" s="167">
        <v>17.379000000000001</v>
      </c>
      <c r="I101" s="168">
        <v>0</v>
      </c>
      <c r="J101" s="166">
        <v>17.379000000000001</v>
      </c>
      <c r="K101" s="169">
        <v>0</v>
      </c>
      <c r="L101" s="170">
        <v>0</v>
      </c>
      <c r="M101" s="169">
        <v>0</v>
      </c>
      <c r="N101" s="166">
        <v>0</v>
      </c>
      <c r="O101" s="222">
        <v>0</v>
      </c>
      <c r="P101" s="169">
        <v>0</v>
      </c>
      <c r="Q101" s="171">
        <f t="shared" si="5"/>
        <v>17.379000000000001</v>
      </c>
      <c r="R101" s="168">
        <v>6.9470000000000001</v>
      </c>
      <c r="S101" s="170">
        <v>0</v>
      </c>
      <c r="T101" s="170">
        <v>0</v>
      </c>
      <c r="U101" s="170">
        <v>0</v>
      </c>
      <c r="V101" s="170">
        <v>0</v>
      </c>
      <c r="W101" s="168">
        <f t="shared" si="6"/>
        <v>17.379000000000001</v>
      </c>
      <c r="X101" s="228">
        <v>41.862000000000002</v>
      </c>
      <c r="Y101" s="220">
        <v>3123676.14</v>
      </c>
      <c r="Z101" s="220">
        <v>1751380</v>
      </c>
    </row>
    <row r="102" spans="1:26" x14ac:dyDescent="0.25">
      <c r="A102" s="164" t="s">
        <v>290</v>
      </c>
      <c r="B102" s="165" t="s">
        <v>288</v>
      </c>
      <c r="C102" s="166" t="s">
        <v>291</v>
      </c>
      <c r="D102" s="220">
        <v>84235113</v>
      </c>
      <c r="E102" s="220">
        <v>0</v>
      </c>
      <c r="F102" s="220">
        <f t="shared" si="4"/>
        <v>84235113</v>
      </c>
      <c r="G102" s="221">
        <v>2111.7200000000003</v>
      </c>
      <c r="H102" s="167">
        <v>27</v>
      </c>
      <c r="I102" s="168">
        <v>3.1760000000000002</v>
      </c>
      <c r="J102" s="166">
        <v>23.824000000000002</v>
      </c>
      <c r="K102" s="169">
        <v>0</v>
      </c>
      <c r="L102" s="170">
        <v>0</v>
      </c>
      <c r="M102" s="169">
        <v>0</v>
      </c>
      <c r="N102" s="166">
        <v>0</v>
      </c>
      <c r="O102" s="222">
        <v>0</v>
      </c>
      <c r="P102" s="169">
        <v>1.9E-2</v>
      </c>
      <c r="Q102" s="171">
        <f t="shared" si="5"/>
        <v>23.843</v>
      </c>
      <c r="R102" s="168">
        <v>6.3730000000000002</v>
      </c>
      <c r="S102" s="170">
        <v>0</v>
      </c>
      <c r="T102" s="170">
        <v>0</v>
      </c>
      <c r="U102" s="170">
        <v>0</v>
      </c>
      <c r="V102" s="170">
        <v>0</v>
      </c>
      <c r="W102" s="168">
        <f t="shared" si="6"/>
        <v>23.843</v>
      </c>
      <c r="X102" s="228">
        <v>58.235999999999997</v>
      </c>
      <c r="Y102" s="220">
        <v>5113049.0199999996</v>
      </c>
      <c r="Z102" s="220">
        <v>2897640</v>
      </c>
    </row>
    <row r="103" spans="1:26" x14ac:dyDescent="0.25">
      <c r="A103" s="164" t="s">
        <v>292</v>
      </c>
      <c r="B103" s="165" t="s">
        <v>288</v>
      </c>
      <c r="C103" s="166" t="s">
        <v>293</v>
      </c>
      <c r="D103" s="220">
        <v>6504618</v>
      </c>
      <c r="E103" s="220">
        <v>0</v>
      </c>
      <c r="F103" s="220">
        <f t="shared" si="4"/>
        <v>6504618</v>
      </c>
      <c r="G103" s="221">
        <v>3.83</v>
      </c>
      <c r="H103" s="167">
        <v>27</v>
      </c>
      <c r="I103" s="168">
        <v>0</v>
      </c>
      <c r="J103" s="166">
        <v>27</v>
      </c>
      <c r="K103" s="169">
        <v>0</v>
      </c>
      <c r="L103" s="170">
        <v>0</v>
      </c>
      <c r="M103" s="169">
        <v>0</v>
      </c>
      <c r="N103" s="166">
        <v>0</v>
      </c>
      <c r="O103" s="222">
        <v>0</v>
      </c>
      <c r="P103" s="169">
        <v>0</v>
      </c>
      <c r="Q103" s="171">
        <f t="shared" si="5"/>
        <v>27</v>
      </c>
      <c r="R103" s="168">
        <v>0</v>
      </c>
      <c r="S103" s="170">
        <v>0</v>
      </c>
      <c r="T103" s="170">
        <v>0</v>
      </c>
      <c r="U103" s="170">
        <v>0</v>
      </c>
      <c r="V103" s="170">
        <v>0</v>
      </c>
      <c r="W103" s="168">
        <f t="shared" si="6"/>
        <v>27</v>
      </c>
      <c r="X103" s="228">
        <v>153.04</v>
      </c>
      <c r="Y103" s="220">
        <v>1012983.36</v>
      </c>
      <c r="Z103" s="220">
        <v>818133</v>
      </c>
    </row>
    <row r="104" spans="1:26" x14ac:dyDescent="0.25">
      <c r="A104" s="164" t="s">
        <v>294</v>
      </c>
      <c r="B104" s="172" t="s">
        <v>295</v>
      </c>
      <c r="C104" s="173" t="s">
        <v>296</v>
      </c>
      <c r="D104" s="220">
        <v>237622760</v>
      </c>
      <c r="E104" s="220">
        <v>-7143910</v>
      </c>
      <c r="F104" s="220">
        <f t="shared" si="4"/>
        <v>230478850</v>
      </c>
      <c r="G104" s="221">
        <v>22800.54</v>
      </c>
      <c r="H104" s="167">
        <v>27</v>
      </c>
      <c r="I104" s="168">
        <v>0</v>
      </c>
      <c r="J104" s="166">
        <v>27</v>
      </c>
      <c r="K104" s="169">
        <v>0</v>
      </c>
      <c r="L104" s="170">
        <v>0</v>
      </c>
      <c r="M104" s="169">
        <v>0</v>
      </c>
      <c r="N104" s="166">
        <v>0</v>
      </c>
      <c r="O104" s="222">
        <v>2.169</v>
      </c>
      <c r="P104" s="169">
        <v>0</v>
      </c>
      <c r="Q104" s="171">
        <f t="shared" si="5"/>
        <v>29.169</v>
      </c>
      <c r="R104" s="168">
        <v>8.2789999999999999</v>
      </c>
      <c r="S104" s="170">
        <v>0</v>
      </c>
      <c r="T104" s="170">
        <v>0</v>
      </c>
      <c r="U104" s="170">
        <v>0</v>
      </c>
      <c r="V104" s="170">
        <v>0</v>
      </c>
      <c r="W104" s="168">
        <f t="shared" si="6"/>
        <v>29.169</v>
      </c>
      <c r="X104" s="228">
        <v>82.760999999999996</v>
      </c>
      <c r="Y104" s="220">
        <v>19736826.550000001</v>
      </c>
      <c r="Z104" s="220">
        <v>12842112</v>
      </c>
    </row>
    <row r="105" spans="1:26" x14ac:dyDescent="0.25">
      <c r="A105" s="164" t="s">
        <v>297</v>
      </c>
      <c r="B105" s="165" t="s">
        <v>295</v>
      </c>
      <c r="C105" s="166" t="s">
        <v>298</v>
      </c>
      <c r="D105" s="220">
        <v>43249040</v>
      </c>
      <c r="E105" s="220">
        <v>0</v>
      </c>
      <c r="F105" s="220">
        <f t="shared" si="4"/>
        <v>43249040</v>
      </c>
      <c r="G105" s="221">
        <v>8693.93</v>
      </c>
      <c r="H105" s="167">
        <v>27</v>
      </c>
      <c r="I105" s="168">
        <v>0</v>
      </c>
      <c r="J105" s="166">
        <v>27</v>
      </c>
      <c r="K105" s="169">
        <v>0</v>
      </c>
      <c r="L105" s="170">
        <v>0</v>
      </c>
      <c r="M105" s="169">
        <v>0.43099999999999999</v>
      </c>
      <c r="N105" s="166">
        <v>0</v>
      </c>
      <c r="O105" s="222">
        <v>0.50900000000000001</v>
      </c>
      <c r="P105" s="169">
        <v>0.20100000000000001</v>
      </c>
      <c r="Q105" s="171">
        <f t="shared" si="5"/>
        <v>28.141000000000002</v>
      </c>
      <c r="R105" s="168">
        <v>0</v>
      </c>
      <c r="S105" s="170">
        <v>0</v>
      </c>
      <c r="T105" s="170">
        <v>0</v>
      </c>
      <c r="U105" s="170">
        <v>0</v>
      </c>
      <c r="V105" s="170">
        <v>0</v>
      </c>
      <c r="W105" s="168">
        <f t="shared" si="6"/>
        <v>28.141000000000002</v>
      </c>
      <c r="X105" s="228">
        <v>69.816999999999993</v>
      </c>
      <c r="Y105" s="220">
        <v>3154789.73</v>
      </c>
      <c r="Z105" s="220">
        <v>1851916</v>
      </c>
    </row>
    <row r="106" spans="1:26" x14ac:dyDescent="0.25">
      <c r="A106" s="164" t="s">
        <v>299</v>
      </c>
      <c r="B106" s="165" t="s">
        <v>295</v>
      </c>
      <c r="C106" s="166" t="s">
        <v>300</v>
      </c>
      <c r="D106" s="220">
        <v>36149546</v>
      </c>
      <c r="E106" s="220">
        <v>0</v>
      </c>
      <c r="F106" s="220">
        <f t="shared" si="4"/>
        <v>36149546</v>
      </c>
      <c r="G106" s="221">
        <v>925.8900000000001</v>
      </c>
      <c r="H106" s="167">
        <v>27</v>
      </c>
      <c r="I106" s="168">
        <v>0</v>
      </c>
      <c r="J106" s="166">
        <v>27</v>
      </c>
      <c r="K106" s="169">
        <v>0</v>
      </c>
      <c r="L106" s="170">
        <v>0</v>
      </c>
      <c r="M106" s="169">
        <v>0</v>
      </c>
      <c r="N106" s="166">
        <v>0</v>
      </c>
      <c r="O106" s="222">
        <v>0</v>
      </c>
      <c r="P106" s="169">
        <v>0</v>
      </c>
      <c r="Q106" s="171">
        <f t="shared" si="5"/>
        <v>27</v>
      </c>
      <c r="R106" s="168">
        <v>4.4690000000000003</v>
      </c>
      <c r="S106" s="170">
        <v>0</v>
      </c>
      <c r="T106" s="170">
        <v>0</v>
      </c>
      <c r="U106" s="170">
        <v>0</v>
      </c>
      <c r="V106" s="170">
        <v>0</v>
      </c>
      <c r="W106" s="168">
        <f t="shared" si="6"/>
        <v>27</v>
      </c>
      <c r="X106" s="228">
        <v>109.899</v>
      </c>
      <c r="Y106" s="220">
        <v>4052304.29</v>
      </c>
      <c r="Z106" s="220">
        <v>2994134</v>
      </c>
    </row>
    <row r="107" spans="1:26" x14ac:dyDescent="0.25">
      <c r="A107" s="164" t="s">
        <v>301</v>
      </c>
      <c r="B107" s="165" t="s">
        <v>295</v>
      </c>
      <c r="C107" s="166" t="s">
        <v>302</v>
      </c>
      <c r="D107" s="220">
        <v>59758950</v>
      </c>
      <c r="E107" s="220">
        <v>0</v>
      </c>
      <c r="F107" s="220">
        <f t="shared" si="4"/>
        <v>59758950</v>
      </c>
      <c r="G107" s="221">
        <v>103.26</v>
      </c>
      <c r="H107" s="167">
        <v>25.81</v>
      </c>
      <c r="I107" s="168">
        <v>6.3920000000000003</v>
      </c>
      <c r="J107" s="166">
        <v>19.417999999999999</v>
      </c>
      <c r="K107" s="169">
        <v>0</v>
      </c>
      <c r="L107" s="170">
        <v>0</v>
      </c>
      <c r="M107" s="169">
        <v>7.4470000000000001</v>
      </c>
      <c r="N107" s="166">
        <v>0</v>
      </c>
      <c r="O107" s="222">
        <v>0</v>
      </c>
      <c r="P107" s="169">
        <v>2E-3</v>
      </c>
      <c r="Q107" s="171">
        <f t="shared" si="5"/>
        <v>26.866999999999997</v>
      </c>
      <c r="R107" s="168">
        <v>14.425000000000001</v>
      </c>
      <c r="S107" s="170">
        <v>0</v>
      </c>
      <c r="T107" s="170">
        <v>0</v>
      </c>
      <c r="U107" s="170">
        <v>0</v>
      </c>
      <c r="V107" s="170">
        <v>0</v>
      </c>
      <c r="W107" s="168">
        <f t="shared" si="6"/>
        <v>26.866999999999997</v>
      </c>
      <c r="X107" s="228">
        <v>41.274999999999999</v>
      </c>
      <c r="Y107" s="220">
        <v>2601021.4</v>
      </c>
      <c r="Z107" s="220">
        <v>1306152</v>
      </c>
    </row>
    <row r="108" spans="1:26" x14ac:dyDescent="0.25">
      <c r="A108" s="174" t="s">
        <v>303</v>
      </c>
      <c r="B108" s="172" t="s">
        <v>304</v>
      </c>
      <c r="C108" s="173" t="s">
        <v>305</v>
      </c>
      <c r="D108" s="220">
        <v>338003280</v>
      </c>
      <c r="E108" s="220">
        <v>0</v>
      </c>
      <c r="F108" s="220">
        <f t="shared" si="4"/>
        <v>338003280</v>
      </c>
      <c r="G108" s="221">
        <v>136.01</v>
      </c>
      <c r="H108" s="167">
        <v>3.43</v>
      </c>
      <c r="I108" s="168">
        <v>0</v>
      </c>
      <c r="J108" s="166">
        <v>3.43</v>
      </c>
      <c r="K108" s="169">
        <v>0</v>
      </c>
      <c r="L108" s="170">
        <v>0</v>
      </c>
      <c r="M108" s="169">
        <v>1.4999999999999999E-2</v>
      </c>
      <c r="N108" s="166">
        <v>0</v>
      </c>
      <c r="O108" s="222">
        <v>0</v>
      </c>
      <c r="P108" s="169">
        <v>0</v>
      </c>
      <c r="Q108" s="171">
        <f t="shared" si="5"/>
        <v>3.4450000000000003</v>
      </c>
      <c r="R108" s="168">
        <v>3.3140000000000001</v>
      </c>
      <c r="S108" s="170">
        <v>0</v>
      </c>
      <c r="T108" s="170">
        <v>0</v>
      </c>
      <c r="U108" s="170">
        <v>0</v>
      </c>
      <c r="V108" s="170">
        <v>0</v>
      </c>
      <c r="W108" s="168">
        <f t="shared" si="6"/>
        <v>3.4450000000000003</v>
      </c>
      <c r="X108" s="228">
        <v>8.5779999999999994</v>
      </c>
      <c r="Y108" s="220">
        <v>2949343.28</v>
      </c>
      <c r="Z108" s="220">
        <v>1719845</v>
      </c>
    </row>
    <row r="109" spans="1:26" x14ac:dyDescent="0.25">
      <c r="A109" s="164" t="s">
        <v>306</v>
      </c>
      <c r="B109" s="172" t="s">
        <v>304</v>
      </c>
      <c r="C109" s="173" t="s">
        <v>307</v>
      </c>
      <c r="D109" s="220">
        <v>206670540</v>
      </c>
      <c r="E109" s="220">
        <v>0</v>
      </c>
      <c r="F109" s="220">
        <f t="shared" si="4"/>
        <v>206670540</v>
      </c>
      <c r="G109" s="221">
        <v>11618.1</v>
      </c>
      <c r="H109" s="167">
        <v>11.895</v>
      </c>
      <c r="I109" s="168">
        <v>0</v>
      </c>
      <c r="J109" s="166">
        <v>11.895</v>
      </c>
      <c r="K109" s="169">
        <v>0</v>
      </c>
      <c r="L109" s="170">
        <v>0</v>
      </c>
      <c r="M109" s="169">
        <v>0</v>
      </c>
      <c r="N109" s="166">
        <v>0</v>
      </c>
      <c r="O109" s="222">
        <v>1.6930000000000001</v>
      </c>
      <c r="P109" s="169">
        <v>5.6000000000000001E-2</v>
      </c>
      <c r="Q109" s="171">
        <f t="shared" si="5"/>
        <v>13.643999999999998</v>
      </c>
      <c r="R109" s="168">
        <v>0</v>
      </c>
      <c r="S109" s="170">
        <v>0</v>
      </c>
      <c r="T109" s="170">
        <v>0</v>
      </c>
      <c r="U109" s="170">
        <v>0</v>
      </c>
      <c r="V109" s="170">
        <v>0</v>
      </c>
      <c r="W109" s="168">
        <f t="shared" si="6"/>
        <v>13.643999999999998</v>
      </c>
      <c r="X109" s="228">
        <v>18.978000000000002</v>
      </c>
      <c r="Y109" s="220">
        <v>4304175.45</v>
      </c>
      <c r="Z109" s="220">
        <v>1466972</v>
      </c>
    </row>
    <row r="110" spans="1:26" x14ac:dyDescent="0.25">
      <c r="A110" s="164" t="s">
        <v>308</v>
      </c>
      <c r="B110" s="165" t="s">
        <v>304</v>
      </c>
      <c r="C110" s="166" t="s">
        <v>309</v>
      </c>
      <c r="D110" s="220">
        <v>2124704190</v>
      </c>
      <c r="E110" s="220">
        <v>-23274118</v>
      </c>
      <c r="F110" s="220">
        <f t="shared" si="4"/>
        <v>2101430072</v>
      </c>
      <c r="G110" s="221">
        <v>436604.17</v>
      </c>
      <c r="H110" s="167">
        <v>27</v>
      </c>
      <c r="I110" s="168">
        <v>0.78600000000000003</v>
      </c>
      <c r="J110" s="166">
        <v>26.213999999999999</v>
      </c>
      <c r="K110" s="169">
        <v>0</v>
      </c>
      <c r="L110" s="170">
        <v>0</v>
      </c>
      <c r="M110" s="169">
        <v>0</v>
      </c>
      <c r="N110" s="166">
        <v>0</v>
      </c>
      <c r="O110" s="222">
        <v>7.6269999999999998</v>
      </c>
      <c r="P110" s="169">
        <v>0.20799999999999999</v>
      </c>
      <c r="Q110" s="171">
        <f t="shared" si="5"/>
        <v>34.048999999999999</v>
      </c>
      <c r="R110" s="168">
        <v>11.028</v>
      </c>
      <c r="S110" s="170">
        <v>0</v>
      </c>
      <c r="T110" s="170">
        <v>0</v>
      </c>
      <c r="U110" s="170">
        <v>0</v>
      </c>
      <c r="V110" s="170">
        <v>0</v>
      </c>
      <c r="W110" s="168">
        <f t="shared" si="6"/>
        <v>34.048999999999999</v>
      </c>
      <c r="X110" s="228">
        <v>94.21</v>
      </c>
      <c r="Y110" s="220">
        <v>205406712.05000001</v>
      </c>
      <c r="Z110" s="220">
        <v>143153259</v>
      </c>
    </row>
    <row r="111" spans="1:26" x14ac:dyDescent="0.25">
      <c r="A111" s="164" t="s">
        <v>310</v>
      </c>
      <c r="B111" s="172" t="s">
        <v>311</v>
      </c>
      <c r="C111" s="173" t="s">
        <v>312</v>
      </c>
      <c r="D111" s="220">
        <v>50077808</v>
      </c>
      <c r="E111" s="220">
        <v>0</v>
      </c>
      <c r="F111" s="220">
        <f t="shared" si="4"/>
        <v>50077808</v>
      </c>
      <c r="G111" s="221">
        <v>100</v>
      </c>
      <c r="H111" s="167">
        <v>27</v>
      </c>
      <c r="I111" s="168">
        <v>4.5469999999999997</v>
      </c>
      <c r="J111" s="166">
        <v>22.452999999999999</v>
      </c>
      <c r="K111" s="169">
        <v>0</v>
      </c>
      <c r="L111" s="170">
        <v>0</v>
      </c>
      <c r="M111" s="169">
        <v>0</v>
      </c>
      <c r="N111" s="166">
        <v>0</v>
      </c>
      <c r="O111" s="222">
        <v>1.3979999999999999</v>
      </c>
      <c r="P111" s="169">
        <v>0</v>
      </c>
      <c r="Q111" s="171">
        <f t="shared" si="5"/>
        <v>23.850999999999999</v>
      </c>
      <c r="R111" s="168">
        <v>11.528</v>
      </c>
      <c r="S111" s="170">
        <v>0</v>
      </c>
      <c r="T111" s="170">
        <v>0</v>
      </c>
      <c r="U111" s="170">
        <v>0</v>
      </c>
      <c r="V111" s="170">
        <v>0</v>
      </c>
      <c r="W111" s="168">
        <f t="shared" si="6"/>
        <v>23.850999999999999</v>
      </c>
      <c r="X111" s="228">
        <v>32.228999999999999</v>
      </c>
      <c r="Y111" s="220">
        <v>1724436.21</v>
      </c>
      <c r="Z111" s="220">
        <v>488758</v>
      </c>
    </row>
    <row r="112" spans="1:26" x14ac:dyDescent="0.25">
      <c r="A112" s="164" t="s">
        <v>313</v>
      </c>
      <c r="B112" s="165" t="s">
        <v>314</v>
      </c>
      <c r="C112" s="166" t="s">
        <v>314</v>
      </c>
      <c r="D112" s="220">
        <v>417239516</v>
      </c>
      <c r="E112" s="220">
        <v>0</v>
      </c>
      <c r="F112" s="220">
        <f t="shared" si="4"/>
        <v>417239516</v>
      </c>
      <c r="G112" s="221">
        <v>62426.97</v>
      </c>
      <c r="H112" s="167">
        <v>27</v>
      </c>
      <c r="I112" s="168">
        <v>4.484</v>
      </c>
      <c r="J112" s="166">
        <v>22.515999999999998</v>
      </c>
      <c r="K112" s="169">
        <v>0</v>
      </c>
      <c r="L112" s="170">
        <v>0</v>
      </c>
      <c r="M112" s="169">
        <v>0.66500000000000004</v>
      </c>
      <c r="N112" s="166">
        <v>0</v>
      </c>
      <c r="O112" s="222">
        <v>4.5529999999999999</v>
      </c>
      <c r="P112" s="169">
        <v>0.14899999999999999</v>
      </c>
      <c r="Q112" s="171">
        <f t="shared" si="5"/>
        <v>27.882999999999999</v>
      </c>
      <c r="R112" s="168">
        <v>6.4109999999999996</v>
      </c>
      <c r="S112" s="170">
        <v>0</v>
      </c>
      <c r="T112" s="170">
        <v>0</v>
      </c>
      <c r="U112" s="170">
        <v>0</v>
      </c>
      <c r="V112" s="170">
        <v>0</v>
      </c>
      <c r="W112" s="168">
        <f t="shared" si="6"/>
        <v>27.882999999999999</v>
      </c>
      <c r="X112" s="228">
        <v>43.999000000000002</v>
      </c>
      <c r="Y112" s="220">
        <v>19283620.140000001</v>
      </c>
      <c r="Z112" s="220">
        <v>8970322</v>
      </c>
    </row>
    <row r="113" spans="1:26" x14ac:dyDescent="0.25">
      <c r="A113" s="165" t="s">
        <v>315</v>
      </c>
      <c r="B113" s="172" t="s">
        <v>316</v>
      </c>
      <c r="C113" s="173" t="s">
        <v>316</v>
      </c>
      <c r="D113" s="220">
        <v>501695470</v>
      </c>
      <c r="E113" s="220">
        <v>0</v>
      </c>
      <c r="F113" s="220">
        <f t="shared" si="4"/>
        <v>501695470</v>
      </c>
      <c r="G113" s="221">
        <v>6078.07</v>
      </c>
      <c r="H113" s="167">
        <v>27</v>
      </c>
      <c r="I113" s="168">
        <v>6.1550000000000002</v>
      </c>
      <c r="J113" s="166">
        <v>20.844999999999999</v>
      </c>
      <c r="K113" s="169">
        <v>0</v>
      </c>
      <c r="L113" s="170">
        <v>0</v>
      </c>
      <c r="M113" s="169">
        <v>0</v>
      </c>
      <c r="N113" s="166">
        <v>0</v>
      </c>
      <c r="O113" s="222">
        <v>0</v>
      </c>
      <c r="P113" s="169">
        <v>1.2E-2</v>
      </c>
      <c r="Q113" s="171">
        <f t="shared" si="5"/>
        <v>20.856999999999999</v>
      </c>
      <c r="R113" s="168">
        <v>2.847</v>
      </c>
      <c r="S113" s="170">
        <v>0</v>
      </c>
      <c r="T113" s="170">
        <v>0</v>
      </c>
      <c r="U113" s="170">
        <v>0</v>
      </c>
      <c r="V113" s="170">
        <v>0</v>
      </c>
      <c r="W113" s="168">
        <f t="shared" si="6"/>
        <v>20.856999999999999</v>
      </c>
      <c r="X113" s="228">
        <v>48.805999999999997</v>
      </c>
      <c r="Y113" s="220">
        <v>25669778.629999999</v>
      </c>
      <c r="Z113" s="220">
        <v>14027894</v>
      </c>
    </row>
    <row r="114" spans="1:26" x14ac:dyDescent="0.25">
      <c r="A114" s="165" t="s">
        <v>317</v>
      </c>
      <c r="B114" s="165" t="s">
        <v>316</v>
      </c>
      <c r="C114" s="166" t="s">
        <v>165</v>
      </c>
      <c r="D114" s="220">
        <v>62236420</v>
      </c>
      <c r="E114" s="220">
        <v>0</v>
      </c>
      <c r="F114" s="220">
        <f t="shared" si="4"/>
        <v>62236420</v>
      </c>
      <c r="G114" s="221">
        <v>8368.27</v>
      </c>
      <c r="H114" s="167">
        <v>27</v>
      </c>
      <c r="I114" s="168">
        <v>4.117</v>
      </c>
      <c r="J114" s="166">
        <v>22.882999999999999</v>
      </c>
      <c r="K114" s="169">
        <v>0</v>
      </c>
      <c r="L114" s="170">
        <v>0</v>
      </c>
      <c r="M114" s="169">
        <v>0</v>
      </c>
      <c r="N114" s="166">
        <v>0</v>
      </c>
      <c r="O114" s="222">
        <v>6.266</v>
      </c>
      <c r="P114" s="169">
        <v>0.13500000000000001</v>
      </c>
      <c r="Q114" s="171">
        <f t="shared" si="5"/>
        <v>29.284000000000002</v>
      </c>
      <c r="R114" s="168">
        <v>4.0339999999999998</v>
      </c>
      <c r="S114" s="170">
        <v>0</v>
      </c>
      <c r="T114" s="170">
        <v>0</v>
      </c>
      <c r="U114" s="170">
        <v>0</v>
      </c>
      <c r="V114" s="170">
        <v>0</v>
      </c>
      <c r="W114" s="168">
        <f t="shared" si="6"/>
        <v>29.284000000000002</v>
      </c>
      <c r="X114" s="228">
        <v>112.197</v>
      </c>
      <c r="Y114" s="220">
        <v>7111285.1900000004</v>
      </c>
      <c r="Z114" s="220">
        <v>5558065</v>
      </c>
    </row>
    <row r="115" spans="1:26" x14ac:dyDescent="0.25">
      <c r="A115" s="165" t="s">
        <v>318</v>
      </c>
      <c r="B115" s="165" t="s">
        <v>316</v>
      </c>
      <c r="C115" s="166" t="s">
        <v>319</v>
      </c>
      <c r="D115" s="220">
        <v>51351730</v>
      </c>
      <c r="E115" s="220">
        <v>0</v>
      </c>
      <c r="F115" s="220">
        <f t="shared" si="4"/>
        <v>51351730</v>
      </c>
      <c r="G115" s="221">
        <v>13300.22</v>
      </c>
      <c r="H115" s="167">
        <v>27</v>
      </c>
      <c r="I115" s="168">
        <v>9.3420000000000005</v>
      </c>
      <c r="J115" s="166">
        <v>17.658000000000001</v>
      </c>
      <c r="K115" s="169">
        <v>0</v>
      </c>
      <c r="L115" s="170">
        <v>0</v>
      </c>
      <c r="M115" s="169">
        <v>0</v>
      </c>
      <c r="N115" s="166">
        <v>0</v>
      </c>
      <c r="O115" s="222">
        <v>1.1259999999999999</v>
      </c>
      <c r="P115" s="169">
        <v>0.25900000000000001</v>
      </c>
      <c r="Q115" s="171">
        <f t="shared" si="5"/>
        <v>19.043000000000003</v>
      </c>
      <c r="R115" s="168">
        <v>7.3029999999999999</v>
      </c>
      <c r="S115" s="170">
        <v>0</v>
      </c>
      <c r="T115" s="170">
        <v>0</v>
      </c>
      <c r="U115" s="170">
        <v>0</v>
      </c>
      <c r="V115" s="170">
        <v>0</v>
      </c>
      <c r="W115" s="168">
        <f t="shared" si="6"/>
        <v>19.043000000000003</v>
      </c>
      <c r="X115" s="228">
        <v>100.259</v>
      </c>
      <c r="Y115" s="220">
        <v>5211322.96</v>
      </c>
      <c r="Z115" s="220">
        <v>4241118</v>
      </c>
    </row>
    <row r="116" spans="1:26" x14ac:dyDescent="0.25">
      <c r="A116" s="164" t="s">
        <v>320</v>
      </c>
      <c r="B116" s="165" t="s">
        <v>321</v>
      </c>
      <c r="C116" s="166" t="s">
        <v>321</v>
      </c>
      <c r="D116" s="220">
        <v>653762051</v>
      </c>
      <c r="E116" s="220">
        <v>-6534666</v>
      </c>
      <c r="F116" s="220">
        <f t="shared" si="4"/>
        <v>647227385</v>
      </c>
      <c r="G116" s="221">
        <v>37386.54</v>
      </c>
      <c r="H116" s="167">
        <v>27</v>
      </c>
      <c r="I116" s="168">
        <v>3.0329999999999999</v>
      </c>
      <c r="J116" s="166">
        <v>23.966999999999999</v>
      </c>
      <c r="K116" s="169">
        <v>0</v>
      </c>
      <c r="L116" s="223">
        <v>0</v>
      </c>
      <c r="M116" s="169">
        <v>0</v>
      </c>
      <c r="N116" s="166">
        <v>0</v>
      </c>
      <c r="O116" s="222">
        <v>0</v>
      </c>
      <c r="P116" s="169">
        <v>6.0000000000000001E-3</v>
      </c>
      <c r="Q116" s="171">
        <f t="shared" si="5"/>
        <v>23.972999999999999</v>
      </c>
      <c r="R116" s="168">
        <v>3.024</v>
      </c>
      <c r="S116" s="170">
        <v>0</v>
      </c>
      <c r="T116" s="170">
        <v>0</v>
      </c>
      <c r="U116" s="170">
        <v>0</v>
      </c>
      <c r="V116" s="170">
        <v>0</v>
      </c>
      <c r="W116" s="168">
        <f t="shared" si="6"/>
        <v>23.972999999999999</v>
      </c>
      <c r="X116" s="228">
        <v>87.290999999999997</v>
      </c>
      <c r="Y116" s="220">
        <v>58400673.609999999</v>
      </c>
      <c r="Z116" s="220">
        <v>40892043</v>
      </c>
    </row>
    <row r="117" spans="1:26" x14ac:dyDescent="0.25">
      <c r="A117" s="164" t="s">
        <v>322</v>
      </c>
      <c r="B117" s="165" t="s">
        <v>321</v>
      </c>
      <c r="C117" s="166" t="s">
        <v>323</v>
      </c>
      <c r="D117" s="220">
        <v>23607867</v>
      </c>
      <c r="E117" s="220">
        <v>0</v>
      </c>
      <c r="F117" s="220">
        <f t="shared" si="4"/>
        <v>23607867</v>
      </c>
      <c r="G117" s="221">
        <v>2436.48</v>
      </c>
      <c r="H117" s="167">
        <v>27</v>
      </c>
      <c r="I117" s="168">
        <v>5.101</v>
      </c>
      <c r="J117" s="166">
        <v>21.899000000000001</v>
      </c>
      <c r="K117" s="169">
        <v>0</v>
      </c>
      <c r="L117" s="170">
        <v>0</v>
      </c>
      <c r="M117" s="169">
        <v>0</v>
      </c>
      <c r="N117" s="166">
        <v>0</v>
      </c>
      <c r="O117" s="222">
        <v>10.505000000000001</v>
      </c>
      <c r="P117" s="169">
        <v>0.10299999999999999</v>
      </c>
      <c r="Q117" s="171">
        <f t="shared" si="5"/>
        <v>32.507000000000005</v>
      </c>
      <c r="R117" s="168">
        <v>3.8119999999999998</v>
      </c>
      <c r="S117" s="170">
        <v>0</v>
      </c>
      <c r="T117" s="170">
        <v>0</v>
      </c>
      <c r="U117" s="170">
        <v>0</v>
      </c>
      <c r="V117" s="170">
        <v>0</v>
      </c>
      <c r="W117" s="168">
        <f t="shared" si="6"/>
        <v>32.507000000000005</v>
      </c>
      <c r="X117" s="228">
        <v>165.03299999999999</v>
      </c>
      <c r="Y117" s="220">
        <v>4018783.77</v>
      </c>
      <c r="Z117" s="220">
        <v>3387971</v>
      </c>
    </row>
    <row r="118" spans="1:26" x14ac:dyDescent="0.25">
      <c r="A118" s="164" t="s">
        <v>324</v>
      </c>
      <c r="B118" s="172" t="s">
        <v>325</v>
      </c>
      <c r="C118" s="173" t="s">
        <v>326</v>
      </c>
      <c r="D118" s="220">
        <v>257721593</v>
      </c>
      <c r="E118" s="220">
        <v>0</v>
      </c>
      <c r="F118" s="220">
        <f t="shared" si="4"/>
        <v>257721593</v>
      </c>
      <c r="G118" s="221">
        <v>18249.82</v>
      </c>
      <c r="H118" s="167">
        <v>27</v>
      </c>
      <c r="I118" s="168">
        <v>0</v>
      </c>
      <c r="J118" s="166">
        <v>27</v>
      </c>
      <c r="K118" s="169">
        <v>0</v>
      </c>
      <c r="L118" s="170">
        <v>0</v>
      </c>
      <c r="M118" s="169">
        <v>0</v>
      </c>
      <c r="N118" s="166">
        <v>0</v>
      </c>
      <c r="O118" s="222">
        <v>9.3119999999999994</v>
      </c>
      <c r="P118" s="169">
        <v>0.04</v>
      </c>
      <c r="Q118" s="171">
        <f t="shared" si="5"/>
        <v>36.351999999999997</v>
      </c>
      <c r="R118" s="168">
        <v>12.747</v>
      </c>
      <c r="S118" s="170">
        <v>0</v>
      </c>
      <c r="T118" s="170">
        <v>0</v>
      </c>
      <c r="U118" s="170">
        <v>0</v>
      </c>
      <c r="V118" s="170">
        <v>0</v>
      </c>
      <c r="W118" s="168">
        <f t="shared" si="6"/>
        <v>36.351999999999997</v>
      </c>
      <c r="X118" s="228">
        <v>54.875999999999998</v>
      </c>
      <c r="Y118" s="220">
        <v>14797471.5</v>
      </c>
      <c r="Z118" s="220">
        <v>7174166</v>
      </c>
    </row>
    <row r="119" spans="1:26" x14ac:dyDescent="0.25">
      <c r="A119" s="164" t="s">
        <v>327</v>
      </c>
      <c r="B119" s="172" t="s">
        <v>325</v>
      </c>
      <c r="C119" s="173" t="s">
        <v>328</v>
      </c>
      <c r="D119" s="220">
        <v>309198470</v>
      </c>
      <c r="E119" s="220">
        <v>0</v>
      </c>
      <c r="F119" s="220">
        <f t="shared" si="4"/>
        <v>309198470</v>
      </c>
      <c r="G119" s="221">
        <v>32344.48</v>
      </c>
      <c r="H119" s="167">
        <v>27</v>
      </c>
      <c r="I119" s="168">
        <v>0</v>
      </c>
      <c r="J119" s="166">
        <v>27</v>
      </c>
      <c r="K119" s="169">
        <v>0</v>
      </c>
      <c r="L119" s="170">
        <v>0</v>
      </c>
      <c r="M119" s="169">
        <v>0</v>
      </c>
      <c r="N119" s="166">
        <v>0</v>
      </c>
      <c r="O119" s="222">
        <v>1.7729999999999999</v>
      </c>
      <c r="P119" s="169">
        <v>8.4000000000000005E-2</v>
      </c>
      <c r="Q119" s="171">
        <f t="shared" si="5"/>
        <v>28.856999999999999</v>
      </c>
      <c r="R119" s="168">
        <v>8.8740000000000006</v>
      </c>
      <c r="S119" s="170">
        <v>0</v>
      </c>
      <c r="T119" s="170">
        <v>0</v>
      </c>
      <c r="U119" s="170">
        <v>0</v>
      </c>
      <c r="V119" s="170">
        <v>0</v>
      </c>
      <c r="W119" s="168">
        <f t="shared" si="6"/>
        <v>28.856999999999999</v>
      </c>
      <c r="X119" s="228">
        <v>102.367</v>
      </c>
      <c r="Y119" s="220">
        <v>32455902</v>
      </c>
      <c r="Z119" s="220">
        <v>23355893</v>
      </c>
    </row>
    <row r="120" spans="1:26" x14ac:dyDescent="0.25">
      <c r="A120" s="164" t="s">
        <v>329</v>
      </c>
      <c r="B120" s="172" t="s">
        <v>325</v>
      </c>
      <c r="C120" s="173" t="s">
        <v>330</v>
      </c>
      <c r="D120" s="220">
        <v>31294240</v>
      </c>
      <c r="E120" s="220">
        <v>0</v>
      </c>
      <c r="F120" s="220">
        <f t="shared" si="4"/>
        <v>31294240</v>
      </c>
      <c r="G120" s="221">
        <v>75.08</v>
      </c>
      <c r="H120" s="167">
        <v>27</v>
      </c>
      <c r="I120" s="168">
        <v>0</v>
      </c>
      <c r="J120" s="166">
        <v>27</v>
      </c>
      <c r="K120" s="169">
        <v>0</v>
      </c>
      <c r="L120" s="170">
        <v>0</v>
      </c>
      <c r="M120" s="169">
        <v>0.307</v>
      </c>
      <c r="N120" s="166">
        <v>0</v>
      </c>
      <c r="O120" s="222">
        <v>0</v>
      </c>
      <c r="P120" s="169">
        <v>2E-3</v>
      </c>
      <c r="Q120" s="171">
        <f t="shared" si="5"/>
        <v>27.308999999999997</v>
      </c>
      <c r="R120" s="168">
        <v>0.6</v>
      </c>
      <c r="S120" s="170">
        <v>0</v>
      </c>
      <c r="T120" s="170">
        <v>0</v>
      </c>
      <c r="U120" s="170">
        <v>0</v>
      </c>
      <c r="V120" s="170">
        <v>0</v>
      </c>
      <c r="W120" s="168">
        <f t="shared" si="6"/>
        <v>27.308999999999997</v>
      </c>
      <c r="X120" s="228">
        <v>106.4</v>
      </c>
      <c r="Y120" s="220">
        <v>3369729.4</v>
      </c>
      <c r="Z120" s="220">
        <v>2464880</v>
      </c>
    </row>
    <row r="121" spans="1:26" x14ac:dyDescent="0.25">
      <c r="A121" s="164" t="s">
        <v>331</v>
      </c>
      <c r="B121" s="172" t="s">
        <v>325</v>
      </c>
      <c r="C121" s="173" t="s">
        <v>332</v>
      </c>
      <c r="D121" s="220">
        <v>305651780</v>
      </c>
      <c r="E121" s="220">
        <v>0</v>
      </c>
      <c r="F121" s="220">
        <f t="shared" si="4"/>
        <v>305651780</v>
      </c>
      <c r="G121" s="221">
        <v>10122.049999999999</v>
      </c>
      <c r="H121" s="167">
        <v>24.545000000000002</v>
      </c>
      <c r="I121" s="168">
        <v>0</v>
      </c>
      <c r="J121" s="166">
        <v>24.545000000000002</v>
      </c>
      <c r="K121" s="169">
        <v>0</v>
      </c>
      <c r="L121" s="170">
        <v>0</v>
      </c>
      <c r="M121" s="169">
        <v>0</v>
      </c>
      <c r="N121" s="166">
        <v>0</v>
      </c>
      <c r="O121" s="222">
        <v>0</v>
      </c>
      <c r="P121" s="169">
        <v>3.3000000000000002E-2</v>
      </c>
      <c r="Q121" s="171">
        <f t="shared" si="5"/>
        <v>24.578000000000003</v>
      </c>
      <c r="R121" s="168">
        <v>14.695</v>
      </c>
      <c r="S121" s="170">
        <v>0</v>
      </c>
      <c r="T121" s="170">
        <v>0</v>
      </c>
      <c r="U121" s="170">
        <v>0</v>
      </c>
      <c r="V121" s="170">
        <v>0</v>
      </c>
      <c r="W121" s="168">
        <f t="shared" si="6"/>
        <v>24.578000000000003</v>
      </c>
      <c r="X121" s="228">
        <v>27.960999999999999</v>
      </c>
      <c r="Y121" s="220">
        <v>9020096.1600000001</v>
      </c>
      <c r="Z121" s="220">
        <v>1051454</v>
      </c>
    </row>
    <row r="122" spans="1:26" x14ac:dyDescent="0.25">
      <c r="A122" s="165" t="s">
        <v>333</v>
      </c>
      <c r="B122" s="165" t="s">
        <v>334</v>
      </c>
      <c r="C122" s="166" t="s">
        <v>335</v>
      </c>
      <c r="D122" s="220">
        <v>84403039</v>
      </c>
      <c r="E122" s="220">
        <v>-2460090</v>
      </c>
      <c r="F122" s="220">
        <f t="shared" si="4"/>
        <v>81942949</v>
      </c>
      <c r="G122" s="221">
        <v>107053.86</v>
      </c>
      <c r="H122" s="167">
        <v>27</v>
      </c>
      <c r="I122" s="168">
        <v>0.58299999999999996</v>
      </c>
      <c r="J122" s="166">
        <v>26.417000000000002</v>
      </c>
      <c r="K122" s="169">
        <v>0</v>
      </c>
      <c r="L122" s="170">
        <v>0</v>
      </c>
      <c r="M122" s="169">
        <v>0</v>
      </c>
      <c r="N122" s="166">
        <v>0</v>
      </c>
      <c r="O122" s="222">
        <v>0</v>
      </c>
      <c r="P122" s="169">
        <v>1.306</v>
      </c>
      <c r="Q122" s="171">
        <f t="shared" si="5"/>
        <v>27.723000000000003</v>
      </c>
      <c r="R122" s="168">
        <v>5.492</v>
      </c>
      <c r="S122" s="170">
        <v>0</v>
      </c>
      <c r="T122" s="170">
        <v>0</v>
      </c>
      <c r="U122" s="170">
        <v>0</v>
      </c>
      <c r="V122" s="170">
        <v>0</v>
      </c>
      <c r="W122" s="168">
        <f t="shared" si="6"/>
        <v>27.723000000000003</v>
      </c>
      <c r="X122" s="228">
        <v>178.24700000000001</v>
      </c>
      <c r="Y122" s="220">
        <v>14975984.630000001</v>
      </c>
      <c r="Z122" s="220">
        <v>12430687</v>
      </c>
    </row>
    <row r="123" spans="1:26" x14ac:dyDescent="0.25">
      <c r="A123" s="164" t="s">
        <v>336</v>
      </c>
      <c r="B123" s="165" t="s">
        <v>334</v>
      </c>
      <c r="C123" s="166" t="s">
        <v>337</v>
      </c>
      <c r="D123" s="220">
        <v>38297240</v>
      </c>
      <c r="E123" s="220">
        <v>0</v>
      </c>
      <c r="F123" s="220">
        <f t="shared" si="4"/>
        <v>38297240</v>
      </c>
      <c r="G123" s="221">
        <v>393.61</v>
      </c>
      <c r="H123" s="167">
        <v>27</v>
      </c>
      <c r="I123" s="168">
        <v>0</v>
      </c>
      <c r="J123" s="166">
        <v>27</v>
      </c>
      <c r="K123" s="169">
        <v>0</v>
      </c>
      <c r="L123" s="170">
        <v>0</v>
      </c>
      <c r="M123" s="169">
        <v>0</v>
      </c>
      <c r="N123" s="166">
        <v>0</v>
      </c>
      <c r="O123" s="222">
        <v>0</v>
      </c>
      <c r="P123" s="169">
        <v>0</v>
      </c>
      <c r="Q123" s="171">
        <f t="shared" si="5"/>
        <v>27</v>
      </c>
      <c r="R123" s="168">
        <v>7.9</v>
      </c>
      <c r="S123" s="170">
        <v>0</v>
      </c>
      <c r="T123" s="170">
        <v>0</v>
      </c>
      <c r="U123" s="170">
        <v>0</v>
      </c>
      <c r="V123" s="170">
        <v>0</v>
      </c>
      <c r="W123" s="168">
        <f t="shared" si="6"/>
        <v>27</v>
      </c>
      <c r="X123" s="228">
        <v>214.571</v>
      </c>
      <c r="Y123" s="220">
        <v>8429420.1199999992</v>
      </c>
      <c r="Z123" s="220">
        <v>7185154</v>
      </c>
    </row>
    <row r="124" spans="1:26" x14ac:dyDescent="0.25">
      <c r="A124" s="164" t="s">
        <v>338</v>
      </c>
      <c r="B124" s="165" t="s">
        <v>334</v>
      </c>
      <c r="C124" s="166" t="s">
        <v>339</v>
      </c>
      <c r="D124" s="220">
        <v>11256992</v>
      </c>
      <c r="E124" s="220">
        <v>0</v>
      </c>
      <c r="F124" s="220">
        <f t="shared" si="4"/>
        <v>11256992</v>
      </c>
      <c r="G124" s="221">
        <v>6.59</v>
      </c>
      <c r="H124" s="167">
        <v>27</v>
      </c>
      <c r="I124" s="168">
        <v>3.2709999999999999</v>
      </c>
      <c r="J124" s="166">
        <v>23.728999999999999</v>
      </c>
      <c r="K124" s="169">
        <v>0</v>
      </c>
      <c r="L124" s="170">
        <v>0</v>
      </c>
      <c r="M124" s="169">
        <v>0</v>
      </c>
      <c r="N124" s="166">
        <v>0</v>
      </c>
      <c r="O124" s="222">
        <v>0</v>
      </c>
      <c r="P124" s="169">
        <v>0</v>
      </c>
      <c r="Q124" s="171">
        <f t="shared" si="5"/>
        <v>23.728999999999999</v>
      </c>
      <c r="R124" s="168">
        <v>0</v>
      </c>
      <c r="S124" s="170">
        <v>0</v>
      </c>
      <c r="T124" s="170">
        <v>0</v>
      </c>
      <c r="U124" s="170">
        <v>0</v>
      </c>
      <c r="V124" s="170">
        <v>0</v>
      </c>
      <c r="W124" s="168">
        <f t="shared" si="6"/>
        <v>23.728999999999999</v>
      </c>
      <c r="X124" s="228">
        <v>250.14099999999999</v>
      </c>
      <c r="Y124" s="220">
        <v>2867310.86</v>
      </c>
      <c r="Z124" s="220">
        <v>2548441</v>
      </c>
    </row>
    <row r="125" spans="1:26" x14ac:dyDescent="0.25">
      <c r="A125" s="164" t="s">
        <v>340</v>
      </c>
      <c r="B125" s="165" t="s">
        <v>334</v>
      </c>
      <c r="C125" s="166" t="s">
        <v>341</v>
      </c>
      <c r="D125" s="220">
        <v>27811563</v>
      </c>
      <c r="E125" s="220">
        <v>0</v>
      </c>
      <c r="F125" s="220">
        <f t="shared" si="4"/>
        <v>27811563</v>
      </c>
      <c r="G125" s="221">
        <v>4775.08</v>
      </c>
      <c r="H125" s="167">
        <v>27</v>
      </c>
      <c r="I125" s="168">
        <v>0</v>
      </c>
      <c r="J125" s="166">
        <v>27</v>
      </c>
      <c r="K125" s="169">
        <v>0</v>
      </c>
      <c r="L125" s="170">
        <v>0</v>
      </c>
      <c r="M125" s="169">
        <v>0</v>
      </c>
      <c r="N125" s="166">
        <v>0</v>
      </c>
      <c r="O125" s="222">
        <v>0</v>
      </c>
      <c r="P125" s="169">
        <v>0.17199999999999999</v>
      </c>
      <c r="Q125" s="171">
        <f t="shared" si="5"/>
        <v>27.172000000000001</v>
      </c>
      <c r="R125" s="168">
        <v>13.324999999999999</v>
      </c>
      <c r="S125" s="170">
        <v>0</v>
      </c>
      <c r="T125" s="170">
        <v>0</v>
      </c>
      <c r="U125" s="170">
        <v>0</v>
      </c>
      <c r="V125" s="170">
        <v>0</v>
      </c>
      <c r="W125" s="168">
        <f t="shared" si="6"/>
        <v>27.172000000000001</v>
      </c>
      <c r="X125" s="228">
        <v>161.29300000000001</v>
      </c>
      <c r="Y125" s="220">
        <v>4605720.43</v>
      </c>
      <c r="Z125" s="220">
        <v>3730783</v>
      </c>
    </row>
    <row r="126" spans="1:26" x14ac:dyDescent="0.25">
      <c r="A126" s="164" t="s">
        <v>342</v>
      </c>
      <c r="B126" s="172" t="s">
        <v>334</v>
      </c>
      <c r="C126" s="173" t="s">
        <v>343</v>
      </c>
      <c r="D126" s="220">
        <v>8491512</v>
      </c>
      <c r="E126" s="220">
        <v>0</v>
      </c>
      <c r="F126" s="220">
        <f t="shared" si="4"/>
        <v>8491512</v>
      </c>
      <c r="G126" s="221">
        <v>0</v>
      </c>
      <c r="H126" s="167">
        <v>27</v>
      </c>
      <c r="I126" s="168">
        <v>0</v>
      </c>
      <c r="J126" s="166">
        <v>27</v>
      </c>
      <c r="K126" s="169">
        <v>0</v>
      </c>
      <c r="L126" s="223">
        <v>0</v>
      </c>
      <c r="M126" s="169">
        <v>0</v>
      </c>
      <c r="N126" s="166">
        <v>0</v>
      </c>
      <c r="O126" s="222">
        <v>0</v>
      </c>
      <c r="P126" s="169">
        <v>0</v>
      </c>
      <c r="Q126" s="171">
        <f t="shared" si="5"/>
        <v>27</v>
      </c>
      <c r="R126" s="168">
        <v>0</v>
      </c>
      <c r="S126" s="170">
        <v>0</v>
      </c>
      <c r="T126" s="170">
        <v>0</v>
      </c>
      <c r="U126" s="170">
        <v>0</v>
      </c>
      <c r="V126" s="170">
        <v>0</v>
      </c>
      <c r="W126" s="168">
        <f t="shared" si="6"/>
        <v>27</v>
      </c>
      <c r="X126" s="228">
        <v>389.22800000000001</v>
      </c>
      <c r="Y126" s="220">
        <v>3353720.72</v>
      </c>
      <c r="Z126" s="220">
        <v>3075862</v>
      </c>
    </row>
    <row r="127" spans="1:26" x14ac:dyDescent="0.25">
      <c r="A127" s="164" t="s">
        <v>344</v>
      </c>
      <c r="B127" s="165" t="s">
        <v>334</v>
      </c>
      <c r="C127" s="166" t="s">
        <v>345</v>
      </c>
      <c r="D127" s="220">
        <v>20878961</v>
      </c>
      <c r="E127" s="220">
        <v>-738625</v>
      </c>
      <c r="F127" s="220">
        <f t="shared" si="4"/>
        <v>20140336</v>
      </c>
      <c r="G127" s="221">
        <v>2668.25</v>
      </c>
      <c r="H127" s="167">
        <v>27</v>
      </c>
      <c r="I127" s="168">
        <v>3.0030000000000001</v>
      </c>
      <c r="J127" s="166">
        <v>23.997</v>
      </c>
      <c r="K127" s="169">
        <v>0</v>
      </c>
      <c r="L127" s="170">
        <v>0</v>
      </c>
      <c r="M127" s="169">
        <v>0</v>
      </c>
      <c r="N127" s="166">
        <v>0</v>
      </c>
      <c r="O127" s="222">
        <v>0.78800000000000003</v>
      </c>
      <c r="P127" s="169">
        <v>0.13300000000000001</v>
      </c>
      <c r="Q127" s="171">
        <f t="shared" si="5"/>
        <v>24.917999999999999</v>
      </c>
      <c r="R127" s="168">
        <v>9.4</v>
      </c>
      <c r="S127" s="170">
        <v>0</v>
      </c>
      <c r="T127" s="170">
        <v>0</v>
      </c>
      <c r="U127" s="170">
        <v>0</v>
      </c>
      <c r="V127" s="170">
        <v>0</v>
      </c>
      <c r="W127" s="168">
        <f t="shared" si="6"/>
        <v>24.917999999999999</v>
      </c>
      <c r="X127" s="228">
        <v>199.964</v>
      </c>
      <c r="Y127" s="220">
        <v>4128757.67</v>
      </c>
      <c r="Z127" s="220">
        <v>3543901</v>
      </c>
    </row>
    <row r="128" spans="1:26" x14ac:dyDescent="0.25">
      <c r="A128" s="164" t="s">
        <v>346</v>
      </c>
      <c r="B128" s="165" t="s">
        <v>347</v>
      </c>
      <c r="C128" s="166" t="s">
        <v>347</v>
      </c>
      <c r="D128" s="220">
        <v>71813890</v>
      </c>
      <c r="E128" s="220">
        <v>0</v>
      </c>
      <c r="F128" s="220">
        <f t="shared" si="4"/>
        <v>71813890</v>
      </c>
      <c r="G128" s="221">
        <v>250.09000000000003</v>
      </c>
      <c r="H128" s="167">
        <v>27</v>
      </c>
      <c r="I128" s="168">
        <v>6.069</v>
      </c>
      <c r="J128" s="166">
        <v>20.931000000000001</v>
      </c>
      <c r="K128" s="169">
        <v>0</v>
      </c>
      <c r="L128" s="170">
        <v>0</v>
      </c>
      <c r="M128" s="169">
        <v>0</v>
      </c>
      <c r="N128" s="166">
        <v>0</v>
      </c>
      <c r="O128" s="222">
        <v>6.8719999999999999</v>
      </c>
      <c r="P128" s="169">
        <v>4.0000000000000001E-3</v>
      </c>
      <c r="Q128" s="171">
        <f t="shared" si="5"/>
        <v>27.807000000000002</v>
      </c>
      <c r="R128" s="168">
        <v>2.7269999999999999</v>
      </c>
      <c r="S128" s="170">
        <v>0</v>
      </c>
      <c r="T128" s="170">
        <v>0</v>
      </c>
      <c r="U128" s="170">
        <v>0</v>
      </c>
      <c r="V128" s="170">
        <v>0</v>
      </c>
      <c r="W128" s="168">
        <f t="shared" si="6"/>
        <v>27.807000000000002</v>
      </c>
      <c r="X128" s="228">
        <v>43.984999999999999</v>
      </c>
      <c r="Y128" s="220">
        <v>3298855.25</v>
      </c>
      <c r="Z128" s="220">
        <v>1658355</v>
      </c>
    </row>
    <row r="129" spans="1:26" x14ac:dyDescent="0.25">
      <c r="A129" s="164" t="s">
        <v>348</v>
      </c>
      <c r="B129" s="165" t="s">
        <v>347</v>
      </c>
      <c r="C129" s="166" t="s">
        <v>349</v>
      </c>
      <c r="D129" s="220">
        <v>126328260</v>
      </c>
      <c r="E129" s="220">
        <v>0</v>
      </c>
      <c r="F129" s="220">
        <f t="shared" si="4"/>
        <v>126328260</v>
      </c>
      <c r="G129" s="221">
        <v>3967.1799999999994</v>
      </c>
      <c r="H129" s="167">
        <v>21.643000000000001</v>
      </c>
      <c r="I129" s="168">
        <v>6.7149999999999999</v>
      </c>
      <c r="J129" s="166">
        <v>14.928000000000001</v>
      </c>
      <c r="K129" s="169">
        <v>0</v>
      </c>
      <c r="L129" s="170">
        <v>0</v>
      </c>
      <c r="M129" s="169">
        <v>0</v>
      </c>
      <c r="N129" s="166">
        <v>0</v>
      </c>
      <c r="O129" s="222">
        <v>10.512</v>
      </c>
      <c r="P129" s="169">
        <v>3.1E-2</v>
      </c>
      <c r="Q129" s="171">
        <f t="shared" si="5"/>
        <v>25.471</v>
      </c>
      <c r="R129" s="168">
        <v>7.4530000000000003</v>
      </c>
      <c r="S129" s="170">
        <v>0</v>
      </c>
      <c r="T129" s="170">
        <v>0</v>
      </c>
      <c r="U129" s="170">
        <v>0</v>
      </c>
      <c r="V129" s="170">
        <v>0</v>
      </c>
      <c r="W129" s="168">
        <f t="shared" si="6"/>
        <v>25.471</v>
      </c>
      <c r="X129" s="228">
        <v>34.936999999999998</v>
      </c>
      <c r="Y129" s="220">
        <v>4436322.12</v>
      </c>
      <c r="Z129" s="220">
        <v>2527774</v>
      </c>
    </row>
    <row r="130" spans="1:26" x14ac:dyDescent="0.25">
      <c r="A130" s="164" t="s">
        <v>350</v>
      </c>
      <c r="B130" s="165" t="s">
        <v>351</v>
      </c>
      <c r="C130" s="166" t="s">
        <v>352</v>
      </c>
      <c r="D130" s="220">
        <v>179994023</v>
      </c>
      <c r="E130" s="220">
        <v>0</v>
      </c>
      <c r="F130" s="220">
        <f t="shared" si="4"/>
        <v>179994023</v>
      </c>
      <c r="G130" s="221">
        <v>6569.05</v>
      </c>
      <c r="H130" s="167">
        <v>27</v>
      </c>
      <c r="I130" s="168">
        <v>7.3380000000000001</v>
      </c>
      <c r="J130" s="166">
        <v>19.661999999999999</v>
      </c>
      <c r="K130" s="169">
        <v>0</v>
      </c>
      <c r="L130" s="170">
        <v>0</v>
      </c>
      <c r="M130" s="169">
        <v>0</v>
      </c>
      <c r="N130" s="166">
        <v>0</v>
      </c>
      <c r="O130" s="222">
        <v>3.5739999999999998</v>
      </c>
      <c r="P130" s="169">
        <v>3.5999999999999997E-2</v>
      </c>
      <c r="Q130" s="171">
        <f t="shared" si="5"/>
        <v>23.271999999999998</v>
      </c>
      <c r="R130" s="168">
        <v>4</v>
      </c>
      <c r="S130" s="170">
        <v>0</v>
      </c>
      <c r="T130" s="170">
        <v>0</v>
      </c>
      <c r="U130" s="170">
        <v>0</v>
      </c>
      <c r="V130" s="170">
        <v>0</v>
      </c>
      <c r="W130" s="168">
        <f t="shared" si="6"/>
        <v>23.271999999999998</v>
      </c>
      <c r="X130" s="228">
        <v>45.4</v>
      </c>
      <c r="Y130" s="220">
        <v>8560790.4700000007</v>
      </c>
      <c r="Z130" s="220">
        <v>4632457</v>
      </c>
    </row>
    <row r="131" spans="1:26" x14ac:dyDescent="0.25">
      <c r="A131" s="164" t="s">
        <v>353</v>
      </c>
      <c r="B131" s="165" t="s">
        <v>351</v>
      </c>
      <c r="C131" s="166" t="s">
        <v>351</v>
      </c>
      <c r="D131" s="220">
        <v>387060088</v>
      </c>
      <c r="E131" s="220">
        <v>0</v>
      </c>
      <c r="F131" s="220">
        <f t="shared" ref="F131:F180" si="7">D131+E131</f>
        <v>387060088</v>
      </c>
      <c r="G131" s="221">
        <v>14067.05</v>
      </c>
      <c r="H131" s="167">
        <v>12.173</v>
      </c>
      <c r="I131" s="168">
        <v>0</v>
      </c>
      <c r="J131" s="166">
        <v>12.173</v>
      </c>
      <c r="K131" s="169">
        <v>0</v>
      </c>
      <c r="L131" s="170">
        <v>0</v>
      </c>
      <c r="M131" s="169">
        <v>1.423</v>
      </c>
      <c r="N131" s="166">
        <v>0</v>
      </c>
      <c r="O131" s="222">
        <v>3.28</v>
      </c>
      <c r="P131" s="169">
        <v>0</v>
      </c>
      <c r="Q131" s="171">
        <f t="shared" ref="Q131:Q180" si="8">SUM(J131:P131)</f>
        <v>16.876000000000001</v>
      </c>
      <c r="R131" s="168">
        <v>2.613</v>
      </c>
      <c r="S131" s="170">
        <v>0</v>
      </c>
      <c r="T131" s="170">
        <v>0</v>
      </c>
      <c r="U131" s="170">
        <v>0</v>
      </c>
      <c r="V131" s="170">
        <v>0</v>
      </c>
      <c r="W131" s="168">
        <f t="shared" si="6"/>
        <v>16.876000000000001</v>
      </c>
      <c r="X131" s="228">
        <v>15.1</v>
      </c>
      <c r="Y131" s="220">
        <v>6529849.6799999997</v>
      </c>
      <c r="Z131" s="220">
        <v>1132905</v>
      </c>
    </row>
    <row r="132" spans="1:26" x14ac:dyDescent="0.25">
      <c r="A132" s="164" t="s">
        <v>354</v>
      </c>
      <c r="B132" s="172" t="s">
        <v>355</v>
      </c>
      <c r="C132" s="173" t="s">
        <v>356</v>
      </c>
      <c r="D132" s="220">
        <v>77969670</v>
      </c>
      <c r="E132" s="220">
        <v>0</v>
      </c>
      <c r="F132" s="220">
        <f t="shared" si="7"/>
        <v>77969670</v>
      </c>
      <c r="G132" s="221">
        <v>65.349999999999994</v>
      </c>
      <c r="H132" s="167">
        <v>27</v>
      </c>
      <c r="I132" s="168">
        <v>0</v>
      </c>
      <c r="J132" s="166">
        <v>27</v>
      </c>
      <c r="K132" s="169">
        <v>0</v>
      </c>
      <c r="L132" s="170">
        <v>0</v>
      </c>
      <c r="M132" s="169">
        <v>0</v>
      </c>
      <c r="N132" s="166">
        <v>0</v>
      </c>
      <c r="O132" s="222">
        <v>7</v>
      </c>
      <c r="P132" s="169">
        <v>0</v>
      </c>
      <c r="Q132" s="171">
        <f t="shared" si="8"/>
        <v>34</v>
      </c>
      <c r="R132" s="168">
        <v>3.31</v>
      </c>
      <c r="S132" s="170">
        <v>0</v>
      </c>
      <c r="T132" s="170">
        <v>0</v>
      </c>
      <c r="U132" s="170">
        <v>0</v>
      </c>
      <c r="V132" s="170">
        <v>0</v>
      </c>
      <c r="W132" s="168">
        <f t="shared" ref="W132:W180" si="9">Q132+(SUM(S132:V132))</f>
        <v>34</v>
      </c>
      <c r="X132" s="228">
        <v>78.927000000000007</v>
      </c>
      <c r="Y132" s="220">
        <v>6396331.5700000003</v>
      </c>
      <c r="Z132" s="220">
        <v>4048667</v>
      </c>
    </row>
    <row r="133" spans="1:26" x14ac:dyDescent="0.25">
      <c r="A133" s="165" t="s">
        <v>357</v>
      </c>
      <c r="B133" s="165" t="s">
        <v>355</v>
      </c>
      <c r="C133" s="166" t="s">
        <v>358</v>
      </c>
      <c r="D133" s="220">
        <v>34505725</v>
      </c>
      <c r="E133" s="220">
        <v>0</v>
      </c>
      <c r="F133" s="220">
        <f t="shared" si="7"/>
        <v>34505725</v>
      </c>
      <c r="G133" s="221">
        <v>432.7</v>
      </c>
      <c r="H133" s="167">
        <v>27</v>
      </c>
      <c r="I133" s="168">
        <v>0</v>
      </c>
      <c r="J133" s="166">
        <v>27</v>
      </c>
      <c r="K133" s="169">
        <v>0</v>
      </c>
      <c r="L133" s="170">
        <v>0</v>
      </c>
      <c r="M133" s="169">
        <v>0</v>
      </c>
      <c r="N133" s="166">
        <v>0</v>
      </c>
      <c r="O133" s="222">
        <v>5</v>
      </c>
      <c r="P133" s="169">
        <v>0</v>
      </c>
      <c r="Q133" s="171">
        <f t="shared" si="8"/>
        <v>32</v>
      </c>
      <c r="R133" s="168">
        <v>7.6</v>
      </c>
      <c r="S133" s="170">
        <v>0</v>
      </c>
      <c r="T133" s="170">
        <v>0</v>
      </c>
      <c r="U133" s="170">
        <v>0</v>
      </c>
      <c r="V133" s="170">
        <v>0</v>
      </c>
      <c r="W133" s="168">
        <f t="shared" si="9"/>
        <v>32</v>
      </c>
      <c r="X133" s="228">
        <v>111.70099999999999</v>
      </c>
      <c r="Y133" s="220">
        <v>3975160.76</v>
      </c>
      <c r="Z133" s="220">
        <v>2922190</v>
      </c>
    </row>
    <row r="134" spans="1:26" x14ac:dyDescent="0.25">
      <c r="A134" s="165" t="s">
        <v>359</v>
      </c>
      <c r="B134" s="172" t="s">
        <v>360</v>
      </c>
      <c r="C134" s="173" t="s">
        <v>361</v>
      </c>
      <c r="D134" s="220">
        <v>3464936300</v>
      </c>
      <c r="E134" s="220">
        <v>0</v>
      </c>
      <c r="F134" s="220">
        <f t="shared" si="7"/>
        <v>3464936300</v>
      </c>
      <c r="G134" s="221">
        <v>37229.94</v>
      </c>
      <c r="H134" s="167">
        <v>4.4119999999999999</v>
      </c>
      <c r="I134" s="168">
        <v>0</v>
      </c>
      <c r="J134" s="166">
        <v>4.4119999999999999</v>
      </c>
      <c r="K134" s="169">
        <v>0</v>
      </c>
      <c r="L134" s="170">
        <v>0</v>
      </c>
      <c r="M134" s="224">
        <v>0.20499999999999999</v>
      </c>
      <c r="N134" s="166">
        <v>0</v>
      </c>
      <c r="O134" s="222">
        <v>1.847</v>
      </c>
      <c r="P134" s="169">
        <v>1.0999999999999999E-2</v>
      </c>
      <c r="Q134" s="171">
        <f t="shared" si="8"/>
        <v>6.4750000000000005</v>
      </c>
      <c r="R134" s="168">
        <v>2.4409999999999998</v>
      </c>
      <c r="S134" s="170">
        <v>0</v>
      </c>
      <c r="T134" s="170">
        <v>0</v>
      </c>
      <c r="U134" s="170">
        <v>0</v>
      </c>
      <c r="V134" s="170">
        <v>0</v>
      </c>
      <c r="W134" s="168">
        <f t="shared" si="9"/>
        <v>6.4750000000000005</v>
      </c>
      <c r="X134" s="228">
        <v>5.9690000000000003</v>
      </c>
      <c r="Y134" s="220">
        <v>21131733.359999999</v>
      </c>
      <c r="Z134" s="220">
        <v>5389136</v>
      </c>
    </row>
    <row r="135" spans="1:26" x14ac:dyDescent="0.25">
      <c r="A135" s="164" t="s">
        <v>362</v>
      </c>
      <c r="B135" s="172" t="s">
        <v>363</v>
      </c>
      <c r="C135" s="173" t="s">
        <v>364</v>
      </c>
      <c r="D135" s="220">
        <v>16233539</v>
      </c>
      <c r="E135" s="220">
        <v>0</v>
      </c>
      <c r="F135" s="220">
        <f t="shared" si="7"/>
        <v>16233539</v>
      </c>
      <c r="G135" s="221">
        <v>114</v>
      </c>
      <c r="H135" s="167">
        <v>27</v>
      </c>
      <c r="I135" s="168">
        <v>0</v>
      </c>
      <c r="J135" s="166">
        <v>27</v>
      </c>
      <c r="K135" s="169">
        <v>0</v>
      </c>
      <c r="L135" s="170">
        <v>0</v>
      </c>
      <c r="M135" s="169">
        <v>0</v>
      </c>
      <c r="N135" s="166">
        <v>0</v>
      </c>
      <c r="O135" s="222">
        <v>0</v>
      </c>
      <c r="P135" s="169">
        <v>0</v>
      </c>
      <c r="Q135" s="171">
        <f t="shared" si="8"/>
        <v>27</v>
      </c>
      <c r="R135" s="168">
        <v>0</v>
      </c>
      <c r="S135" s="170">
        <v>0</v>
      </c>
      <c r="T135" s="170">
        <v>0</v>
      </c>
      <c r="U135" s="170">
        <v>0</v>
      </c>
      <c r="V135" s="170">
        <v>0</v>
      </c>
      <c r="W135" s="168">
        <f t="shared" si="9"/>
        <v>27</v>
      </c>
      <c r="X135" s="228">
        <v>182.828</v>
      </c>
      <c r="Y135" s="220">
        <v>3038532.79</v>
      </c>
      <c r="Z135" s="220">
        <v>2528816</v>
      </c>
    </row>
    <row r="136" spans="1:26" x14ac:dyDescent="0.25">
      <c r="A136" s="164" t="s">
        <v>365</v>
      </c>
      <c r="B136" s="165" t="s">
        <v>363</v>
      </c>
      <c r="C136" s="166" t="s">
        <v>366</v>
      </c>
      <c r="D136" s="220">
        <v>99410870</v>
      </c>
      <c r="E136" s="220">
        <v>-2720700</v>
      </c>
      <c r="F136" s="220">
        <f t="shared" si="7"/>
        <v>96690170</v>
      </c>
      <c r="G136" s="221">
        <v>15364</v>
      </c>
      <c r="H136" s="167">
        <v>27</v>
      </c>
      <c r="I136" s="168">
        <v>5.4050000000000002</v>
      </c>
      <c r="J136" s="166">
        <v>21.594999999999999</v>
      </c>
      <c r="K136" s="169">
        <v>0</v>
      </c>
      <c r="L136" s="170">
        <v>0</v>
      </c>
      <c r="M136" s="169">
        <v>0</v>
      </c>
      <c r="N136" s="166">
        <v>0</v>
      </c>
      <c r="O136" s="222">
        <v>0</v>
      </c>
      <c r="P136" s="169">
        <v>0.159</v>
      </c>
      <c r="Q136" s="171">
        <f t="shared" si="8"/>
        <v>21.753999999999998</v>
      </c>
      <c r="R136" s="168">
        <v>3.3610000000000002</v>
      </c>
      <c r="S136" s="170">
        <v>0</v>
      </c>
      <c r="T136" s="170">
        <v>0</v>
      </c>
      <c r="U136" s="170">
        <v>0</v>
      </c>
      <c r="V136" s="170">
        <v>0</v>
      </c>
      <c r="W136" s="168">
        <f t="shared" si="9"/>
        <v>21.753999999999998</v>
      </c>
      <c r="X136" s="228">
        <v>155.536</v>
      </c>
      <c r="Y136" s="220">
        <v>15323547.789999999</v>
      </c>
      <c r="Z136" s="220">
        <v>12946407</v>
      </c>
    </row>
    <row r="137" spans="1:26" x14ac:dyDescent="0.25">
      <c r="A137" s="165" t="s">
        <v>367</v>
      </c>
      <c r="B137" s="172" t="s">
        <v>363</v>
      </c>
      <c r="C137" s="173" t="s">
        <v>368</v>
      </c>
      <c r="D137" s="220">
        <v>28123665</v>
      </c>
      <c r="E137" s="220">
        <v>0</v>
      </c>
      <c r="F137" s="220">
        <f t="shared" si="7"/>
        <v>28123665</v>
      </c>
      <c r="G137" s="221">
        <v>16562</v>
      </c>
      <c r="H137" s="167">
        <v>27</v>
      </c>
      <c r="I137" s="168">
        <v>0</v>
      </c>
      <c r="J137" s="166">
        <v>27</v>
      </c>
      <c r="K137" s="169">
        <v>0</v>
      </c>
      <c r="L137" s="170">
        <v>0</v>
      </c>
      <c r="M137" s="169">
        <v>0</v>
      </c>
      <c r="N137" s="166">
        <v>0</v>
      </c>
      <c r="O137" s="222">
        <v>0</v>
      </c>
      <c r="P137" s="169">
        <v>2.9000000000000001E-2</v>
      </c>
      <c r="Q137" s="171">
        <f t="shared" si="8"/>
        <v>27.029</v>
      </c>
      <c r="R137" s="168">
        <v>8.9960000000000004</v>
      </c>
      <c r="S137" s="170">
        <v>0</v>
      </c>
      <c r="T137" s="170">
        <v>0</v>
      </c>
      <c r="U137" s="170">
        <v>0</v>
      </c>
      <c r="V137" s="170">
        <v>0</v>
      </c>
      <c r="W137" s="168">
        <f t="shared" si="9"/>
        <v>27.029</v>
      </c>
      <c r="X137" s="228">
        <v>123.32299999999999</v>
      </c>
      <c r="Y137" s="220">
        <v>3581197.21</v>
      </c>
      <c r="Z137" s="220">
        <v>2708826</v>
      </c>
    </row>
    <row r="138" spans="1:26" x14ac:dyDescent="0.25">
      <c r="A138" s="164" t="s">
        <v>369</v>
      </c>
      <c r="B138" s="172" t="s">
        <v>363</v>
      </c>
      <c r="C138" s="173" t="s">
        <v>370</v>
      </c>
      <c r="D138" s="220">
        <v>13478602</v>
      </c>
      <c r="E138" s="220">
        <v>0</v>
      </c>
      <c r="F138" s="220">
        <f t="shared" si="7"/>
        <v>13478602</v>
      </c>
      <c r="G138" s="221">
        <v>3074.23</v>
      </c>
      <c r="H138" s="167">
        <v>27</v>
      </c>
      <c r="I138" s="168">
        <v>0</v>
      </c>
      <c r="J138" s="166">
        <v>27</v>
      </c>
      <c r="K138" s="169">
        <v>0</v>
      </c>
      <c r="L138" s="170">
        <v>0</v>
      </c>
      <c r="M138" s="169">
        <v>0</v>
      </c>
      <c r="N138" s="166">
        <v>0</v>
      </c>
      <c r="O138" s="222">
        <v>0</v>
      </c>
      <c r="P138" s="169">
        <v>0.22800000000000001</v>
      </c>
      <c r="Q138" s="171">
        <f t="shared" si="8"/>
        <v>27.228000000000002</v>
      </c>
      <c r="R138" s="168">
        <v>0</v>
      </c>
      <c r="S138" s="170">
        <v>0</v>
      </c>
      <c r="T138" s="170">
        <v>0</v>
      </c>
      <c r="U138" s="170">
        <v>0</v>
      </c>
      <c r="V138" s="170">
        <v>0</v>
      </c>
      <c r="W138" s="168">
        <f t="shared" si="9"/>
        <v>27.228000000000002</v>
      </c>
      <c r="X138" s="228">
        <v>252.99199999999999</v>
      </c>
      <c r="Y138" s="220">
        <v>3454620.19</v>
      </c>
      <c r="Z138" s="220">
        <v>3043181</v>
      </c>
    </row>
    <row r="139" spans="1:26" x14ac:dyDescent="0.25">
      <c r="A139" s="164" t="s">
        <v>371</v>
      </c>
      <c r="B139" s="165" t="s">
        <v>372</v>
      </c>
      <c r="C139" s="166" t="s">
        <v>373</v>
      </c>
      <c r="D139" s="220">
        <v>1236232913</v>
      </c>
      <c r="E139" s="220">
        <v>-48388044</v>
      </c>
      <c r="F139" s="220">
        <f t="shared" si="7"/>
        <v>1187844869</v>
      </c>
      <c r="G139" s="221">
        <v>1248535.17</v>
      </c>
      <c r="H139" s="167">
        <v>27</v>
      </c>
      <c r="I139" s="168">
        <v>0</v>
      </c>
      <c r="J139" s="166">
        <v>27</v>
      </c>
      <c r="K139" s="169">
        <v>0</v>
      </c>
      <c r="L139" s="170">
        <v>0</v>
      </c>
      <c r="M139" s="169">
        <v>0</v>
      </c>
      <c r="N139" s="166">
        <v>0</v>
      </c>
      <c r="O139" s="222">
        <v>0</v>
      </c>
      <c r="P139" s="169">
        <v>1.0509999999999999</v>
      </c>
      <c r="Q139" s="171">
        <f t="shared" si="8"/>
        <v>28.050999999999998</v>
      </c>
      <c r="R139" s="168">
        <v>14.9</v>
      </c>
      <c r="S139" s="170">
        <v>0</v>
      </c>
      <c r="T139" s="170">
        <v>0</v>
      </c>
      <c r="U139" s="170">
        <v>0</v>
      </c>
      <c r="V139" s="170">
        <v>0</v>
      </c>
      <c r="W139" s="168">
        <f t="shared" si="9"/>
        <v>28.050999999999998</v>
      </c>
      <c r="X139" s="228">
        <v>129.05699999999999</v>
      </c>
      <c r="Y139" s="220">
        <v>155065584.93000001</v>
      </c>
      <c r="Z139" s="220">
        <v>121262966</v>
      </c>
    </row>
    <row r="140" spans="1:26" x14ac:dyDescent="0.25">
      <c r="A140" s="165" t="s">
        <v>374</v>
      </c>
      <c r="B140" s="165" t="s">
        <v>372</v>
      </c>
      <c r="C140" s="166" t="s">
        <v>375</v>
      </c>
      <c r="D140" s="220">
        <v>888510287</v>
      </c>
      <c r="E140" s="220">
        <v>-19862364</v>
      </c>
      <c r="F140" s="220">
        <f t="shared" si="7"/>
        <v>868647923</v>
      </c>
      <c r="G140" s="221">
        <v>46584.89</v>
      </c>
      <c r="H140" s="167">
        <v>27</v>
      </c>
      <c r="I140" s="168">
        <v>0</v>
      </c>
      <c r="J140" s="166">
        <v>27</v>
      </c>
      <c r="K140" s="169">
        <v>0</v>
      </c>
      <c r="L140" s="170">
        <v>0</v>
      </c>
      <c r="M140" s="169">
        <v>0</v>
      </c>
      <c r="N140" s="166">
        <v>0</v>
      </c>
      <c r="O140" s="222">
        <v>0</v>
      </c>
      <c r="P140" s="169">
        <v>0</v>
      </c>
      <c r="Q140" s="171">
        <f t="shared" si="8"/>
        <v>27</v>
      </c>
      <c r="R140" s="168">
        <v>12.962999999999999</v>
      </c>
      <c r="S140" s="170">
        <v>0</v>
      </c>
      <c r="T140" s="170">
        <v>0</v>
      </c>
      <c r="U140" s="170">
        <v>0</v>
      </c>
      <c r="V140" s="170">
        <v>0</v>
      </c>
      <c r="W140" s="168">
        <f t="shared" si="9"/>
        <v>27</v>
      </c>
      <c r="X140" s="228">
        <v>110.73</v>
      </c>
      <c r="Y140" s="220">
        <v>98173042.159999996</v>
      </c>
      <c r="Z140" s="220">
        <v>72680826</v>
      </c>
    </row>
    <row r="141" spans="1:26" x14ac:dyDescent="0.25">
      <c r="A141" s="164" t="s">
        <v>376</v>
      </c>
      <c r="B141" s="165" t="s">
        <v>377</v>
      </c>
      <c r="C141" s="166" t="s">
        <v>378</v>
      </c>
      <c r="D141" s="220">
        <v>560088190</v>
      </c>
      <c r="E141" s="220">
        <v>0</v>
      </c>
      <c r="F141" s="220">
        <f t="shared" si="7"/>
        <v>560088190</v>
      </c>
      <c r="G141" s="221">
        <v>25.21</v>
      </c>
      <c r="H141" s="167">
        <v>5.7670000000000003</v>
      </c>
      <c r="I141" s="168">
        <v>0</v>
      </c>
      <c r="J141" s="166">
        <v>5.7670000000000003</v>
      </c>
      <c r="K141" s="169">
        <v>0</v>
      </c>
      <c r="L141" s="170">
        <v>0</v>
      </c>
      <c r="M141" s="169">
        <v>0</v>
      </c>
      <c r="N141" s="166">
        <v>0</v>
      </c>
      <c r="O141" s="222">
        <v>0.72199999999999998</v>
      </c>
      <c r="P141" s="169">
        <v>0</v>
      </c>
      <c r="Q141" s="171">
        <f t="shared" si="8"/>
        <v>6.4890000000000008</v>
      </c>
      <c r="R141" s="168">
        <v>8.2119999999999997</v>
      </c>
      <c r="S141" s="170">
        <v>0</v>
      </c>
      <c r="T141" s="170">
        <v>0</v>
      </c>
      <c r="U141" s="170">
        <v>0</v>
      </c>
      <c r="V141" s="170">
        <v>0</v>
      </c>
      <c r="W141" s="168">
        <f t="shared" si="9"/>
        <v>6.4890000000000008</v>
      </c>
      <c r="X141" s="228">
        <v>12.587999999999999</v>
      </c>
      <c r="Y141" s="220">
        <v>7122858.3899999997</v>
      </c>
      <c r="Z141" s="220">
        <v>3794194</v>
      </c>
    </row>
    <row r="142" spans="1:26" x14ac:dyDescent="0.25">
      <c r="A142" s="164" t="s">
        <v>379</v>
      </c>
      <c r="B142" s="165" t="s">
        <v>377</v>
      </c>
      <c r="C142" s="166" t="s">
        <v>380</v>
      </c>
      <c r="D142" s="220">
        <v>274192770</v>
      </c>
      <c r="E142" s="220">
        <v>0</v>
      </c>
      <c r="F142" s="220">
        <f t="shared" si="7"/>
        <v>274192770</v>
      </c>
      <c r="G142" s="221">
        <v>71389.209999999992</v>
      </c>
      <c r="H142" s="167">
        <v>6.1429999999999998</v>
      </c>
      <c r="I142" s="168">
        <v>2.0270000000000001</v>
      </c>
      <c r="J142" s="166">
        <v>4.1159999999999997</v>
      </c>
      <c r="K142" s="169">
        <v>0</v>
      </c>
      <c r="L142" s="170">
        <v>0</v>
      </c>
      <c r="M142" s="169">
        <v>2.4470000000000001</v>
      </c>
      <c r="N142" s="166">
        <v>0</v>
      </c>
      <c r="O142" s="222">
        <v>2.67</v>
      </c>
      <c r="P142" s="169">
        <v>0.26</v>
      </c>
      <c r="Q142" s="171">
        <f t="shared" si="8"/>
        <v>9.4930000000000003</v>
      </c>
      <c r="R142" s="168">
        <v>0</v>
      </c>
      <c r="S142" s="170">
        <v>0.96499999999999997</v>
      </c>
      <c r="T142" s="170">
        <v>0</v>
      </c>
      <c r="U142" s="170">
        <v>0</v>
      </c>
      <c r="V142" s="170">
        <v>0</v>
      </c>
      <c r="W142" s="168">
        <f t="shared" si="9"/>
        <v>10.458</v>
      </c>
      <c r="X142" s="228">
        <v>17.64</v>
      </c>
      <c r="Y142" s="220">
        <v>4983519.76</v>
      </c>
      <c r="Z142" s="220">
        <v>3761012</v>
      </c>
    </row>
    <row r="143" spans="1:26" x14ac:dyDescent="0.25">
      <c r="A143" s="164" t="s">
        <v>381</v>
      </c>
      <c r="B143" s="165" t="s">
        <v>382</v>
      </c>
      <c r="C143" s="166" t="s">
        <v>383</v>
      </c>
      <c r="D143" s="220">
        <v>98215782</v>
      </c>
      <c r="E143" s="220">
        <v>0</v>
      </c>
      <c r="F143" s="220">
        <f t="shared" si="7"/>
        <v>98215782</v>
      </c>
      <c r="G143" s="221">
        <v>628.75</v>
      </c>
      <c r="H143" s="167">
        <v>27</v>
      </c>
      <c r="I143" s="168">
        <v>8.6920000000000002</v>
      </c>
      <c r="J143" s="166">
        <v>18.308</v>
      </c>
      <c r="K143" s="169">
        <v>0</v>
      </c>
      <c r="L143" s="170">
        <v>0</v>
      </c>
      <c r="M143" s="169">
        <v>0</v>
      </c>
      <c r="N143" s="166">
        <v>0</v>
      </c>
      <c r="O143" s="222">
        <v>9</v>
      </c>
      <c r="P143" s="169">
        <v>6.0000000000000001E-3</v>
      </c>
      <c r="Q143" s="171">
        <f t="shared" si="8"/>
        <v>27.314</v>
      </c>
      <c r="R143" s="168">
        <v>13.367000000000001</v>
      </c>
      <c r="S143" s="170">
        <v>0</v>
      </c>
      <c r="T143" s="170">
        <v>0</v>
      </c>
      <c r="U143" s="170">
        <v>0</v>
      </c>
      <c r="V143" s="170">
        <v>0</v>
      </c>
      <c r="W143" s="168">
        <f t="shared" si="9"/>
        <v>27.314</v>
      </c>
      <c r="X143" s="228">
        <v>46.341999999999999</v>
      </c>
      <c r="Y143" s="220">
        <v>4767206.7699999996</v>
      </c>
      <c r="Z143" s="220">
        <v>2755559</v>
      </c>
    </row>
    <row r="144" spans="1:26" x14ac:dyDescent="0.25">
      <c r="A144" s="164" t="s">
        <v>384</v>
      </c>
      <c r="B144" s="165" t="s">
        <v>382</v>
      </c>
      <c r="C144" s="166" t="s">
        <v>385</v>
      </c>
      <c r="D144" s="220">
        <v>66545953</v>
      </c>
      <c r="E144" s="220">
        <v>0</v>
      </c>
      <c r="F144" s="220">
        <f t="shared" si="7"/>
        <v>66545953</v>
      </c>
      <c r="G144" s="221">
        <v>272.02</v>
      </c>
      <c r="H144" s="167">
        <v>27</v>
      </c>
      <c r="I144" s="168">
        <v>0</v>
      </c>
      <c r="J144" s="166">
        <v>27</v>
      </c>
      <c r="K144" s="169">
        <v>0</v>
      </c>
      <c r="L144" s="170">
        <v>0</v>
      </c>
      <c r="M144" s="169">
        <v>0</v>
      </c>
      <c r="N144" s="166">
        <v>0</v>
      </c>
      <c r="O144" s="222">
        <v>2.93</v>
      </c>
      <c r="P144" s="169">
        <v>4.0000000000000001E-3</v>
      </c>
      <c r="Q144" s="171">
        <f t="shared" si="8"/>
        <v>29.934000000000001</v>
      </c>
      <c r="R144" s="168">
        <v>9</v>
      </c>
      <c r="S144" s="170">
        <v>0</v>
      </c>
      <c r="T144" s="170">
        <v>0</v>
      </c>
      <c r="U144" s="170">
        <v>0</v>
      </c>
      <c r="V144" s="170">
        <v>0</v>
      </c>
      <c r="W144" s="168">
        <f t="shared" si="9"/>
        <v>29.934000000000001</v>
      </c>
      <c r="X144" s="228">
        <v>161.84200000000001</v>
      </c>
      <c r="Y144" s="220">
        <v>11027692.5</v>
      </c>
      <c r="Z144" s="220">
        <v>8975063</v>
      </c>
    </row>
    <row r="145" spans="1:26" x14ac:dyDescent="0.25">
      <c r="A145" s="165" t="s">
        <v>386</v>
      </c>
      <c r="B145" s="172" t="s">
        <v>382</v>
      </c>
      <c r="C145" s="173" t="s">
        <v>387</v>
      </c>
      <c r="D145" s="220">
        <v>42938347</v>
      </c>
      <c r="E145" s="220">
        <v>0</v>
      </c>
      <c r="F145" s="220">
        <f t="shared" si="7"/>
        <v>42938347</v>
      </c>
      <c r="G145" s="221">
        <v>0.56000000000000005</v>
      </c>
      <c r="H145" s="167">
        <v>27</v>
      </c>
      <c r="I145" s="168">
        <v>0</v>
      </c>
      <c r="J145" s="166">
        <v>27</v>
      </c>
      <c r="K145" s="169">
        <v>0</v>
      </c>
      <c r="L145" s="170">
        <v>0</v>
      </c>
      <c r="M145" s="169">
        <v>0</v>
      </c>
      <c r="N145" s="166">
        <v>0</v>
      </c>
      <c r="O145" s="222">
        <v>1.7470000000000001</v>
      </c>
      <c r="P145" s="169">
        <v>0</v>
      </c>
      <c r="Q145" s="171">
        <f t="shared" si="8"/>
        <v>28.747</v>
      </c>
      <c r="R145" s="168">
        <v>9.0779999999999994</v>
      </c>
      <c r="S145" s="170">
        <v>0</v>
      </c>
      <c r="T145" s="170">
        <v>0</v>
      </c>
      <c r="U145" s="170">
        <v>0</v>
      </c>
      <c r="V145" s="170">
        <v>0</v>
      </c>
      <c r="W145" s="168">
        <f t="shared" si="9"/>
        <v>28.747</v>
      </c>
      <c r="X145" s="228">
        <v>95.176000000000002</v>
      </c>
      <c r="Y145" s="220">
        <v>4219755.97</v>
      </c>
      <c r="Z145" s="220">
        <v>2927981</v>
      </c>
    </row>
    <row r="146" spans="1:26" x14ac:dyDescent="0.25">
      <c r="A146" s="164" t="s">
        <v>388</v>
      </c>
      <c r="B146" s="165" t="s">
        <v>389</v>
      </c>
      <c r="C146" s="166" t="s">
        <v>390</v>
      </c>
      <c r="D146" s="220">
        <v>131076800</v>
      </c>
      <c r="E146" s="220">
        <v>0</v>
      </c>
      <c r="F146" s="220">
        <f t="shared" si="7"/>
        <v>131076800</v>
      </c>
      <c r="G146" s="221">
        <v>63895.81</v>
      </c>
      <c r="H146" s="167">
        <v>27</v>
      </c>
      <c r="I146" s="168">
        <v>4.4139999999999997</v>
      </c>
      <c r="J146" s="166">
        <v>22.585999999999999</v>
      </c>
      <c r="K146" s="169">
        <v>0</v>
      </c>
      <c r="L146" s="170">
        <v>0</v>
      </c>
      <c r="M146" s="169">
        <v>0</v>
      </c>
      <c r="N146" s="166">
        <v>0</v>
      </c>
      <c r="O146" s="222">
        <v>6.9080000000000004</v>
      </c>
      <c r="P146" s="169">
        <v>0.48699999999999999</v>
      </c>
      <c r="Q146" s="171">
        <f t="shared" si="8"/>
        <v>29.980999999999998</v>
      </c>
      <c r="R146" s="168">
        <v>14.839</v>
      </c>
      <c r="S146" s="170">
        <v>0</v>
      </c>
      <c r="T146" s="170">
        <v>0</v>
      </c>
      <c r="U146" s="170">
        <v>0</v>
      </c>
      <c r="V146" s="170">
        <v>0</v>
      </c>
      <c r="W146" s="168">
        <f t="shared" si="9"/>
        <v>29.980999999999998</v>
      </c>
      <c r="X146" s="228">
        <v>36.948</v>
      </c>
      <c r="Y146" s="220">
        <v>5038887.46</v>
      </c>
      <c r="Z146" s="220">
        <v>1892894</v>
      </c>
    </row>
    <row r="147" spans="1:26" x14ac:dyDescent="0.25">
      <c r="A147" s="179" t="s">
        <v>391</v>
      </c>
      <c r="B147" s="165" t="s">
        <v>389</v>
      </c>
      <c r="C147" s="166" t="s">
        <v>392</v>
      </c>
      <c r="D147" s="220">
        <v>1138972450</v>
      </c>
      <c r="E147" s="220">
        <v>-56339404</v>
      </c>
      <c r="F147" s="220">
        <f t="shared" si="7"/>
        <v>1082633046</v>
      </c>
      <c r="G147" s="221">
        <v>61559.929999999993</v>
      </c>
      <c r="H147" s="167">
        <v>8.5960000000000001</v>
      </c>
      <c r="I147" s="168">
        <v>0</v>
      </c>
      <c r="J147" s="166">
        <v>8.5960000000000001</v>
      </c>
      <c r="K147" s="169">
        <v>0</v>
      </c>
      <c r="L147" s="170">
        <v>0</v>
      </c>
      <c r="M147" s="169">
        <v>0.98299999999999998</v>
      </c>
      <c r="N147" s="166">
        <v>0</v>
      </c>
      <c r="O147" s="222">
        <v>5.2309999999999999</v>
      </c>
      <c r="P147" s="169">
        <v>5.7000000000000002E-2</v>
      </c>
      <c r="Q147" s="171">
        <f t="shared" si="8"/>
        <v>14.867000000000001</v>
      </c>
      <c r="R147" s="168">
        <v>8.702</v>
      </c>
      <c r="S147" s="170">
        <v>0</v>
      </c>
      <c r="T147" s="170">
        <v>0</v>
      </c>
      <c r="U147" s="170">
        <v>1.1459999999999999</v>
      </c>
      <c r="V147" s="170">
        <v>0</v>
      </c>
      <c r="W147" s="168">
        <f t="shared" si="9"/>
        <v>16.013000000000002</v>
      </c>
      <c r="X147" s="228">
        <v>22.792999999999999</v>
      </c>
      <c r="Y147" s="220">
        <v>26819236.190000001</v>
      </c>
      <c r="Z147" s="220">
        <v>16552815</v>
      </c>
    </row>
    <row r="148" spans="1:26" x14ac:dyDescent="0.25">
      <c r="A148" s="179" t="s">
        <v>393</v>
      </c>
      <c r="B148" s="165" t="s">
        <v>389</v>
      </c>
      <c r="C148" s="166" t="s">
        <v>394</v>
      </c>
      <c r="D148" s="220">
        <v>99967890</v>
      </c>
      <c r="E148" s="220">
        <v>0</v>
      </c>
      <c r="F148" s="220">
        <f t="shared" si="7"/>
        <v>99967890</v>
      </c>
      <c r="G148" s="221">
        <v>6070.39</v>
      </c>
      <c r="H148" s="167">
        <v>21.283000000000001</v>
      </c>
      <c r="I148" s="168">
        <v>0</v>
      </c>
      <c r="J148" s="166">
        <v>21.283000000000001</v>
      </c>
      <c r="K148" s="169">
        <v>0</v>
      </c>
      <c r="L148" s="170">
        <v>0</v>
      </c>
      <c r="M148" s="169">
        <v>0</v>
      </c>
      <c r="N148" s="166">
        <v>0</v>
      </c>
      <c r="O148" s="222">
        <v>11.648999999999999</v>
      </c>
      <c r="P148" s="169">
        <v>8.6999999999999994E-2</v>
      </c>
      <c r="Q148" s="171">
        <f t="shared" si="8"/>
        <v>33.019000000000005</v>
      </c>
      <c r="R148" s="168">
        <v>0</v>
      </c>
      <c r="S148" s="170">
        <v>2.379</v>
      </c>
      <c r="T148" s="170">
        <v>0</v>
      </c>
      <c r="U148" s="170">
        <v>0</v>
      </c>
      <c r="V148" s="170">
        <v>6.7320000000000002</v>
      </c>
      <c r="W148" s="168">
        <f t="shared" si="9"/>
        <v>42.13000000000001</v>
      </c>
      <c r="X148" s="228">
        <v>41.64</v>
      </c>
      <c r="Y148" s="220">
        <v>4306820.08</v>
      </c>
      <c r="Z148" s="220">
        <v>2037910</v>
      </c>
    </row>
    <row r="149" spans="1:26" x14ac:dyDescent="0.25">
      <c r="A149" s="164" t="s">
        <v>395</v>
      </c>
      <c r="B149" s="165" t="s">
        <v>396</v>
      </c>
      <c r="C149" s="166" t="s">
        <v>397</v>
      </c>
      <c r="D149" s="220">
        <v>27733892</v>
      </c>
      <c r="E149" s="220">
        <v>0</v>
      </c>
      <c r="F149" s="220">
        <f t="shared" si="7"/>
        <v>27733892</v>
      </c>
      <c r="G149" s="221">
        <v>224.19</v>
      </c>
      <c r="H149" s="167">
        <v>27</v>
      </c>
      <c r="I149" s="168">
        <v>1.4419999999999999</v>
      </c>
      <c r="J149" s="166">
        <v>25.558</v>
      </c>
      <c r="K149" s="169">
        <v>0</v>
      </c>
      <c r="L149" s="170">
        <v>0</v>
      </c>
      <c r="M149" s="169">
        <v>0</v>
      </c>
      <c r="N149" s="166">
        <v>0</v>
      </c>
      <c r="O149" s="222">
        <v>0</v>
      </c>
      <c r="P149" s="169">
        <v>0</v>
      </c>
      <c r="Q149" s="171">
        <f t="shared" si="8"/>
        <v>25.558</v>
      </c>
      <c r="R149" s="168">
        <v>10.457000000000001</v>
      </c>
      <c r="S149" s="170">
        <v>0</v>
      </c>
      <c r="T149" s="170">
        <v>0</v>
      </c>
      <c r="U149" s="170">
        <v>0</v>
      </c>
      <c r="V149" s="170">
        <v>0</v>
      </c>
      <c r="W149" s="168">
        <f t="shared" si="9"/>
        <v>25.558</v>
      </c>
      <c r="X149" s="228">
        <v>96.531999999999996</v>
      </c>
      <c r="Y149" s="220">
        <v>2723078.91</v>
      </c>
      <c r="Z149" s="220">
        <v>1941350</v>
      </c>
    </row>
    <row r="150" spans="1:26" x14ac:dyDescent="0.25">
      <c r="A150" s="164" t="s">
        <v>398</v>
      </c>
      <c r="B150" s="165" t="s">
        <v>396</v>
      </c>
      <c r="C150" s="166" t="s">
        <v>314</v>
      </c>
      <c r="D150" s="220">
        <v>32226512</v>
      </c>
      <c r="E150" s="220">
        <v>0</v>
      </c>
      <c r="F150" s="220">
        <f t="shared" si="7"/>
        <v>32226512</v>
      </c>
      <c r="G150" s="221">
        <v>4519.59</v>
      </c>
      <c r="H150" s="167">
        <v>27</v>
      </c>
      <c r="I150" s="168">
        <v>0</v>
      </c>
      <c r="J150" s="166">
        <v>27</v>
      </c>
      <c r="K150" s="169">
        <v>0</v>
      </c>
      <c r="L150" s="170">
        <v>0</v>
      </c>
      <c r="M150" s="169">
        <v>0</v>
      </c>
      <c r="N150" s="166">
        <v>0</v>
      </c>
      <c r="O150" s="222">
        <v>7.3449999999999998</v>
      </c>
      <c r="P150" s="169">
        <v>0.14099999999999999</v>
      </c>
      <c r="Q150" s="171">
        <f t="shared" si="8"/>
        <v>34.485999999999997</v>
      </c>
      <c r="R150" s="168">
        <v>12.36</v>
      </c>
      <c r="S150" s="170">
        <v>0</v>
      </c>
      <c r="T150" s="170">
        <v>0</v>
      </c>
      <c r="U150" s="170">
        <v>0</v>
      </c>
      <c r="V150" s="170">
        <v>0</v>
      </c>
      <c r="W150" s="168">
        <f t="shared" si="9"/>
        <v>34.485999999999997</v>
      </c>
      <c r="X150" s="228">
        <v>109.745</v>
      </c>
      <c r="Y150" s="220">
        <v>3861075.65</v>
      </c>
      <c r="Z150" s="220">
        <v>2554170</v>
      </c>
    </row>
    <row r="151" spans="1:26" x14ac:dyDescent="0.25">
      <c r="A151" s="164" t="s">
        <v>399</v>
      </c>
      <c r="B151" s="165" t="s">
        <v>396</v>
      </c>
      <c r="C151" s="166" t="s">
        <v>400</v>
      </c>
      <c r="D151" s="220">
        <v>38528484</v>
      </c>
      <c r="E151" s="220">
        <v>0</v>
      </c>
      <c r="F151" s="220">
        <f t="shared" si="7"/>
        <v>38528484</v>
      </c>
      <c r="G151" s="221">
        <v>2344.59</v>
      </c>
      <c r="H151" s="167">
        <v>27</v>
      </c>
      <c r="I151" s="168">
        <v>0</v>
      </c>
      <c r="J151" s="166">
        <v>27</v>
      </c>
      <c r="K151" s="169">
        <v>0</v>
      </c>
      <c r="L151" s="170">
        <v>0</v>
      </c>
      <c r="M151" s="169">
        <v>0</v>
      </c>
      <c r="N151" s="166">
        <v>0</v>
      </c>
      <c r="O151" s="222">
        <v>0</v>
      </c>
      <c r="P151" s="169">
        <v>6.0999999999999999E-2</v>
      </c>
      <c r="Q151" s="171">
        <f t="shared" si="8"/>
        <v>27.061</v>
      </c>
      <c r="R151" s="168">
        <v>9.07</v>
      </c>
      <c r="S151" s="170">
        <v>0</v>
      </c>
      <c r="T151" s="170">
        <v>0</v>
      </c>
      <c r="U151" s="170">
        <v>0</v>
      </c>
      <c r="V151" s="170">
        <v>0</v>
      </c>
      <c r="W151" s="168">
        <f t="shared" si="9"/>
        <v>27.061</v>
      </c>
      <c r="X151" s="228">
        <v>179.816</v>
      </c>
      <c r="Y151" s="220">
        <v>7118095.5300000003</v>
      </c>
      <c r="Z151" s="220">
        <v>5900015</v>
      </c>
    </row>
    <row r="152" spans="1:26" x14ac:dyDescent="0.25">
      <c r="A152" s="165" t="s">
        <v>401</v>
      </c>
      <c r="B152" s="165" t="s">
        <v>402</v>
      </c>
      <c r="C152" s="166" t="s">
        <v>403</v>
      </c>
      <c r="D152" s="220">
        <v>53479692</v>
      </c>
      <c r="E152" s="220">
        <v>0</v>
      </c>
      <c r="F152" s="220">
        <f t="shared" si="7"/>
        <v>53479692</v>
      </c>
      <c r="G152" s="221">
        <v>4377.84</v>
      </c>
      <c r="H152" s="167">
        <v>15.009</v>
      </c>
      <c r="I152" s="168">
        <v>2.044</v>
      </c>
      <c r="J152" s="166">
        <v>12.965</v>
      </c>
      <c r="K152" s="169">
        <v>0</v>
      </c>
      <c r="L152" s="170">
        <v>0</v>
      </c>
      <c r="M152" s="169">
        <v>0.371</v>
      </c>
      <c r="N152" s="166">
        <v>0</v>
      </c>
      <c r="O152" s="222">
        <v>0</v>
      </c>
      <c r="P152" s="169">
        <v>8.2000000000000003E-2</v>
      </c>
      <c r="Q152" s="171">
        <f t="shared" si="8"/>
        <v>13.418000000000001</v>
      </c>
      <c r="R152" s="168">
        <v>1.6</v>
      </c>
      <c r="S152" s="170">
        <v>0</v>
      </c>
      <c r="T152" s="170">
        <v>0</v>
      </c>
      <c r="U152" s="170">
        <v>0</v>
      </c>
      <c r="V152" s="170">
        <v>0</v>
      </c>
      <c r="W152" s="168">
        <f t="shared" si="9"/>
        <v>13.418000000000001</v>
      </c>
      <c r="X152" s="228">
        <v>32.561</v>
      </c>
      <c r="Y152" s="220">
        <v>1770145.84</v>
      </c>
      <c r="Z152" s="220">
        <v>1042227</v>
      </c>
    </row>
    <row r="153" spans="1:26" x14ac:dyDescent="0.25">
      <c r="A153" s="164" t="s">
        <v>404</v>
      </c>
      <c r="B153" s="165" t="s">
        <v>405</v>
      </c>
      <c r="C153" s="166" t="s">
        <v>406</v>
      </c>
      <c r="D153" s="220">
        <v>914809044</v>
      </c>
      <c r="E153" s="220">
        <v>0</v>
      </c>
      <c r="F153" s="220">
        <f t="shared" si="7"/>
        <v>914809044</v>
      </c>
      <c r="G153" s="221">
        <v>34994.99</v>
      </c>
      <c r="H153" s="167">
        <v>7.2809999999999997</v>
      </c>
      <c r="I153" s="168">
        <v>0</v>
      </c>
      <c r="J153" s="166">
        <v>7.2809999999999997</v>
      </c>
      <c r="K153" s="169">
        <v>0</v>
      </c>
      <c r="L153" s="170">
        <v>0</v>
      </c>
      <c r="M153" s="169">
        <v>0</v>
      </c>
      <c r="N153" s="166">
        <v>0</v>
      </c>
      <c r="O153" s="222">
        <v>3.68</v>
      </c>
      <c r="P153" s="169">
        <v>3.7999999999999999E-2</v>
      </c>
      <c r="Q153" s="171">
        <f t="shared" si="8"/>
        <v>10.999000000000001</v>
      </c>
      <c r="R153" s="168">
        <v>2.0219999999999998</v>
      </c>
      <c r="S153" s="170">
        <v>0.24099999999999999</v>
      </c>
      <c r="T153" s="170">
        <v>0</v>
      </c>
      <c r="U153" s="170">
        <v>0</v>
      </c>
      <c r="V153" s="170">
        <v>0</v>
      </c>
      <c r="W153" s="168">
        <f t="shared" si="9"/>
        <v>11.24</v>
      </c>
      <c r="X153" s="228">
        <v>12.756</v>
      </c>
      <c r="Y153" s="220">
        <v>11865998.57</v>
      </c>
      <c r="Z153" s="220">
        <v>5008734</v>
      </c>
    </row>
    <row r="154" spans="1:26" x14ac:dyDescent="0.25">
      <c r="A154" s="165" t="s">
        <v>407</v>
      </c>
      <c r="B154" s="165" t="s">
        <v>405</v>
      </c>
      <c r="C154" s="166" t="s">
        <v>408</v>
      </c>
      <c r="D154" s="220">
        <v>51050886</v>
      </c>
      <c r="E154" s="220">
        <v>0</v>
      </c>
      <c r="F154" s="220">
        <f t="shared" si="7"/>
        <v>51050886</v>
      </c>
      <c r="G154" s="221">
        <v>177.52</v>
      </c>
      <c r="H154" s="167">
        <v>16.998999999999999</v>
      </c>
      <c r="I154" s="168">
        <v>11.089</v>
      </c>
      <c r="J154" s="166">
        <v>5.91</v>
      </c>
      <c r="K154" s="169">
        <v>0</v>
      </c>
      <c r="L154" s="170">
        <v>0</v>
      </c>
      <c r="M154" s="169">
        <v>0</v>
      </c>
      <c r="N154" s="166">
        <v>0</v>
      </c>
      <c r="O154" s="222">
        <v>7.7919999999999998</v>
      </c>
      <c r="P154" s="169">
        <v>4.0000000000000001E-3</v>
      </c>
      <c r="Q154" s="171">
        <f t="shared" si="8"/>
        <v>13.706</v>
      </c>
      <c r="R154" s="168">
        <v>0</v>
      </c>
      <c r="S154" s="170">
        <v>0</v>
      </c>
      <c r="T154" s="170">
        <v>0</v>
      </c>
      <c r="U154" s="170">
        <v>0</v>
      </c>
      <c r="V154" s="170">
        <v>0</v>
      </c>
      <c r="W154" s="168">
        <f t="shared" si="9"/>
        <v>13.706</v>
      </c>
      <c r="X154" s="228">
        <v>63.527999999999999</v>
      </c>
      <c r="Y154" s="220">
        <v>3312990.93</v>
      </c>
      <c r="Z154" s="220">
        <v>2993202</v>
      </c>
    </row>
    <row r="155" spans="1:26" x14ac:dyDescent="0.25">
      <c r="A155" s="164" t="s">
        <v>409</v>
      </c>
      <c r="B155" s="165" t="s">
        <v>410</v>
      </c>
      <c r="C155" s="166" t="s">
        <v>411</v>
      </c>
      <c r="D155" s="220">
        <v>31962896</v>
      </c>
      <c r="E155" s="220">
        <v>0</v>
      </c>
      <c r="F155" s="220">
        <f t="shared" si="7"/>
        <v>31962896</v>
      </c>
      <c r="G155" s="221">
        <v>642.47</v>
      </c>
      <c r="H155" s="167">
        <v>27</v>
      </c>
      <c r="I155" s="168">
        <v>0</v>
      </c>
      <c r="J155" s="166">
        <v>27</v>
      </c>
      <c r="K155" s="169">
        <v>0</v>
      </c>
      <c r="L155" s="170">
        <v>0</v>
      </c>
      <c r="M155" s="169">
        <v>0</v>
      </c>
      <c r="N155" s="166">
        <v>0</v>
      </c>
      <c r="O155" s="222">
        <v>0</v>
      </c>
      <c r="P155" s="169">
        <v>0.02</v>
      </c>
      <c r="Q155" s="171">
        <f t="shared" si="8"/>
        <v>27.02</v>
      </c>
      <c r="R155" s="168">
        <v>14.698</v>
      </c>
      <c r="S155" s="170">
        <v>0</v>
      </c>
      <c r="T155" s="170">
        <v>0</v>
      </c>
      <c r="U155" s="170">
        <v>0</v>
      </c>
      <c r="V155" s="170">
        <v>0</v>
      </c>
      <c r="W155" s="168">
        <f t="shared" si="9"/>
        <v>27.02</v>
      </c>
      <c r="X155" s="228">
        <v>237.32300000000001</v>
      </c>
      <c r="Y155" s="220">
        <v>7554255.9199999999</v>
      </c>
      <c r="Z155" s="220">
        <v>6593172</v>
      </c>
    </row>
    <row r="156" spans="1:26" x14ac:dyDescent="0.25">
      <c r="A156" s="164" t="s">
        <v>412</v>
      </c>
      <c r="B156" s="165" t="s">
        <v>410</v>
      </c>
      <c r="C156" s="166" t="s">
        <v>413</v>
      </c>
      <c r="D156" s="220">
        <v>27467359</v>
      </c>
      <c r="E156" s="220">
        <v>0</v>
      </c>
      <c r="F156" s="220">
        <f t="shared" si="7"/>
        <v>27467359</v>
      </c>
      <c r="G156" s="221">
        <v>654.05999999999995</v>
      </c>
      <c r="H156" s="167">
        <v>27</v>
      </c>
      <c r="I156" s="168">
        <v>2.0579999999999998</v>
      </c>
      <c r="J156" s="166">
        <v>24.942</v>
      </c>
      <c r="K156" s="169">
        <v>0</v>
      </c>
      <c r="L156" s="170">
        <v>0</v>
      </c>
      <c r="M156" s="169">
        <v>2.702</v>
      </c>
      <c r="N156" s="166">
        <v>0</v>
      </c>
      <c r="O156" s="222">
        <v>0</v>
      </c>
      <c r="P156" s="169">
        <v>2.4E-2</v>
      </c>
      <c r="Q156" s="171">
        <f t="shared" si="8"/>
        <v>27.667999999999999</v>
      </c>
      <c r="R156" s="168">
        <v>14</v>
      </c>
      <c r="S156" s="170">
        <v>0</v>
      </c>
      <c r="T156" s="170">
        <v>0</v>
      </c>
      <c r="U156" s="170">
        <v>0</v>
      </c>
      <c r="V156" s="170">
        <v>0</v>
      </c>
      <c r="W156" s="168">
        <f t="shared" si="9"/>
        <v>27.667999999999999</v>
      </c>
      <c r="X156" s="228">
        <v>86.873000000000005</v>
      </c>
      <c r="Y156" s="220">
        <v>2472804.35</v>
      </c>
      <c r="Z156" s="220">
        <v>1700823</v>
      </c>
    </row>
    <row r="157" spans="1:26" x14ac:dyDescent="0.25">
      <c r="A157" s="179" t="s">
        <v>414</v>
      </c>
      <c r="B157" s="165" t="s">
        <v>415</v>
      </c>
      <c r="C157" s="166" t="s">
        <v>415</v>
      </c>
      <c r="D157" s="220">
        <v>2449685940</v>
      </c>
      <c r="E157" s="220">
        <v>-40636540</v>
      </c>
      <c r="F157" s="220">
        <f t="shared" si="7"/>
        <v>2409049400</v>
      </c>
      <c r="G157" s="221">
        <v>101711.56</v>
      </c>
      <c r="H157" s="167">
        <v>10.666</v>
      </c>
      <c r="I157" s="168">
        <v>0</v>
      </c>
      <c r="J157" s="166">
        <v>10.666</v>
      </c>
      <c r="K157" s="169">
        <v>0</v>
      </c>
      <c r="L157" s="170">
        <v>0</v>
      </c>
      <c r="M157" s="169">
        <v>0.61199999999999999</v>
      </c>
      <c r="N157" s="166">
        <v>0</v>
      </c>
      <c r="O157" s="222">
        <v>2.375</v>
      </c>
      <c r="P157" s="169">
        <v>4.2000000000000003E-2</v>
      </c>
      <c r="Q157" s="171">
        <f t="shared" si="8"/>
        <v>13.695</v>
      </c>
      <c r="R157" s="168">
        <v>3.8109999999999999</v>
      </c>
      <c r="S157" s="170">
        <v>0.36499999999999999</v>
      </c>
      <c r="T157" s="170">
        <v>0</v>
      </c>
      <c r="U157" s="170">
        <v>1</v>
      </c>
      <c r="V157" s="170">
        <v>0</v>
      </c>
      <c r="W157" s="168">
        <f t="shared" si="9"/>
        <v>15.06</v>
      </c>
      <c r="X157" s="228">
        <v>14.571999999999999</v>
      </c>
      <c r="Y157" s="220">
        <v>36810687.869999997</v>
      </c>
      <c r="Z157" s="220">
        <v>9438594</v>
      </c>
    </row>
    <row r="158" spans="1:26" x14ac:dyDescent="0.25">
      <c r="A158" s="164" t="s">
        <v>416</v>
      </c>
      <c r="B158" s="165" t="s">
        <v>417</v>
      </c>
      <c r="C158" s="166" t="s">
        <v>418</v>
      </c>
      <c r="D158" s="220">
        <v>369260500</v>
      </c>
      <c r="E158" s="220">
        <v>0</v>
      </c>
      <c r="F158" s="220">
        <f t="shared" si="7"/>
        <v>369260500</v>
      </c>
      <c r="G158" s="221">
        <v>3198.85</v>
      </c>
      <c r="H158" s="167">
        <v>9.6240000000000006</v>
      </c>
      <c r="I158" s="168">
        <v>0</v>
      </c>
      <c r="J158" s="166">
        <v>9.6240000000000006</v>
      </c>
      <c r="K158" s="169">
        <v>0</v>
      </c>
      <c r="L158" s="223">
        <v>0</v>
      </c>
      <c r="M158" s="169">
        <v>0</v>
      </c>
      <c r="N158" s="166">
        <v>0</v>
      </c>
      <c r="O158" s="222">
        <v>1.581</v>
      </c>
      <c r="P158" s="169">
        <v>8.9999999999999993E-3</v>
      </c>
      <c r="Q158" s="171">
        <f t="shared" si="8"/>
        <v>11.214</v>
      </c>
      <c r="R158" s="168">
        <v>2.669</v>
      </c>
      <c r="S158" s="170">
        <v>0</v>
      </c>
      <c r="T158" s="170">
        <v>0</v>
      </c>
      <c r="U158" s="170">
        <v>0</v>
      </c>
      <c r="V158" s="170">
        <v>0</v>
      </c>
      <c r="W158" s="168">
        <f t="shared" si="9"/>
        <v>11.214</v>
      </c>
      <c r="X158" s="228">
        <v>13.8834</v>
      </c>
      <c r="Y158" s="220">
        <v>4416504.42</v>
      </c>
      <c r="Z158" s="220">
        <v>462889</v>
      </c>
    </row>
    <row r="159" spans="1:26" x14ac:dyDescent="0.25">
      <c r="A159" s="164" t="s">
        <v>419</v>
      </c>
      <c r="B159" s="165" t="s">
        <v>417</v>
      </c>
      <c r="C159" s="166" t="s">
        <v>420</v>
      </c>
      <c r="D159" s="220">
        <v>336437600</v>
      </c>
      <c r="E159" s="220">
        <v>-9665589</v>
      </c>
      <c r="F159" s="220">
        <f t="shared" si="7"/>
        <v>326772011</v>
      </c>
      <c r="G159" s="221">
        <v>2695.5</v>
      </c>
      <c r="H159" s="167">
        <v>27</v>
      </c>
      <c r="I159" s="168">
        <v>2.4500000000000002</v>
      </c>
      <c r="J159" s="166">
        <v>24.55</v>
      </c>
      <c r="K159" s="169">
        <v>0</v>
      </c>
      <c r="L159" s="170">
        <v>0</v>
      </c>
      <c r="M159" s="169">
        <v>0</v>
      </c>
      <c r="N159" s="166">
        <v>0</v>
      </c>
      <c r="O159" s="222">
        <v>3.3660000000000001</v>
      </c>
      <c r="P159" s="169">
        <v>8.0000000000000002E-3</v>
      </c>
      <c r="Q159" s="171">
        <f t="shared" si="8"/>
        <v>27.923999999999999</v>
      </c>
      <c r="R159" s="168">
        <v>0</v>
      </c>
      <c r="S159" s="170">
        <v>0</v>
      </c>
      <c r="T159" s="170">
        <v>0</v>
      </c>
      <c r="U159" s="170">
        <v>0</v>
      </c>
      <c r="V159" s="170">
        <v>0</v>
      </c>
      <c r="W159" s="168">
        <f t="shared" si="9"/>
        <v>27.923999999999999</v>
      </c>
      <c r="X159" s="228">
        <v>63.576999999999998</v>
      </c>
      <c r="Y159" s="220">
        <v>21606210.420000002</v>
      </c>
      <c r="Z159" s="220">
        <v>12756227</v>
      </c>
    </row>
    <row r="160" spans="1:26" x14ac:dyDescent="0.25">
      <c r="A160" s="164" t="s">
        <v>421</v>
      </c>
      <c r="B160" s="165" t="s">
        <v>422</v>
      </c>
      <c r="C160" s="166" t="s">
        <v>423</v>
      </c>
      <c r="D160" s="220">
        <v>48031749</v>
      </c>
      <c r="E160" s="220">
        <v>0</v>
      </c>
      <c r="F160" s="220">
        <f t="shared" si="7"/>
        <v>48031749</v>
      </c>
      <c r="G160" s="221">
        <v>32350</v>
      </c>
      <c r="H160" s="167">
        <v>27</v>
      </c>
      <c r="I160" s="168">
        <v>0.56200000000000006</v>
      </c>
      <c r="J160" s="166">
        <v>26.437999999999999</v>
      </c>
      <c r="K160" s="169">
        <v>0</v>
      </c>
      <c r="L160" s="170">
        <v>0</v>
      </c>
      <c r="M160" s="169">
        <v>0</v>
      </c>
      <c r="N160" s="166">
        <v>0</v>
      </c>
      <c r="O160" s="222">
        <v>0</v>
      </c>
      <c r="P160" s="169">
        <v>0.16700000000000001</v>
      </c>
      <c r="Q160" s="171">
        <f t="shared" si="8"/>
        <v>26.605</v>
      </c>
      <c r="R160" s="168">
        <v>10.16</v>
      </c>
      <c r="S160" s="170">
        <v>0</v>
      </c>
      <c r="T160" s="170">
        <v>0</v>
      </c>
      <c r="U160" s="170">
        <v>0</v>
      </c>
      <c r="V160" s="170">
        <v>0</v>
      </c>
      <c r="W160" s="168">
        <f t="shared" si="9"/>
        <v>26.605</v>
      </c>
      <c r="X160" s="228">
        <v>98.361000000000004</v>
      </c>
      <c r="Y160" s="220">
        <v>4811205.87</v>
      </c>
      <c r="Z160" s="220">
        <v>3418305</v>
      </c>
    </row>
    <row r="161" spans="1:26" x14ac:dyDescent="0.25">
      <c r="A161" s="164" t="s">
        <v>424</v>
      </c>
      <c r="B161" s="165" t="s">
        <v>422</v>
      </c>
      <c r="C161" s="166" t="s">
        <v>425</v>
      </c>
      <c r="D161" s="220">
        <v>29821787</v>
      </c>
      <c r="E161" s="220">
        <v>0</v>
      </c>
      <c r="F161" s="220">
        <f t="shared" si="7"/>
        <v>29821787</v>
      </c>
      <c r="G161" s="221">
        <v>46079.7</v>
      </c>
      <c r="H161" s="167">
        <v>27</v>
      </c>
      <c r="I161" s="168">
        <v>10.819000000000001</v>
      </c>
      <c r="J161" s="166">
        <v>16.181000000000001</v>
      </c>
      <c r="K161" s="169">
        <v>0</v>
      </c>
      <c r="L161" s="170">
        <v>0</v>
      </c>
      <c r="M161" s="169">
        <v>0.26200000000000001</v>
      </c>
      <c r="N161" s="166">
        <v>0</v>
      </c>
      <c r="O161" s="222">
        <v>8.3840000000000003</v>
      </c>
      <c r="P161" s="169">
        <v>1.5449999999999999</v>
      </c>
      <c r="Q161" s="171">
        <f t="shared" si="8"/>
        <v>26.372</v>
      </c>
      <c r="R161" s="168">
        <v>0</v>
      </c>
      <c r="S161" s="170">
        <v>0</v>
      </c>
      <c r="T161" s="170">
        <v>0</v>
      </c>
      <c r="U161" s="170">
        <v>0</v>
      </c>
      <c r="V161" s="170">
        <v>0</v>
      </c>
      <c r="W161" s="168">
        <f t="shared" si="9"/>
        <v>26.372</v>
      </c>
      <c r="X161" s="228">
        <v>62.113999999999997</v>
      </c>
      <c r="Y161" s="220">
        <v>1928053.17</v>
      </c>
      <c r="Z161" s="220">
        <v>1366864</v>
      </c>
    </row>
    <row r="162" spans="1:26" x14ac:dyDescent="0.25">
      <c r="A162" s="164" t="s">
        <v>426</v>
      </c>
      <c r="B162" s="165" t="s">
        <v>422</v>
      </c>
      <c r="C162" s="166" t="s">
        <v>427</v>
      </c>
      <c r="D162" s="220">
        <v>20415588</v>
      </c>
      <c r="E162" s="220">
        <v>0</v>
      </c>
      <c r="F162" s="220">
        <f t="shared" si="7"/>
        <v>20415588</v>
      </c>
      <c r="G162" s="221">
        <v>9248.65</v>
      </c>
      <c r="H162" s="167">
        <v>27</v>
      </c>
      <c r="I162" s="168">
        <v>0</v>
      </c>
      <c r="J162" s="166">
        <v>27</v>
      </c>
      <c r="K162" s="169">
        <v>0</v>
      </c>
      <c r="L162" s="170">
        <v>0</v>
      </c>
      <c r="M162" s="169">
        <v>0</v>
      </c>
      <c r="N162" s="166">
        <v>0</v>
      </c>
      <c r="O162" s="222">
        <v>0</v>
      </c>
      <c r="P162" s="169">
        <v>0.45300000000000001</v>
      </c>
      <c r="Q162" s="171">
        <f t="shared" si="8"/>
        <v>27.452999999999999</v>
      </c>
      <c r="R162" s="168">
        <v>9.2509999999999994</v>
      </c>
      <c r="S162" s="170">
        <v>0</v>
      </c>
      <c r="T162" s="170">
        <v>0</v>
      </c>
      <c r="U162" s="170">
        <v>0</v>
      </c>
      <c r="V162" s="170">
        <v>0</v>
      </c>
      <c r="W162" s="168">
        <f t="shared" si="9"/>
        <v>27.452999999999999</v>
      </c>
      <c r="X162" s="228">
        <v>160.41</v>
      </c>
      <c r="Y162" s="220">
        <v>3331850.92</v>
      </c>
      <c r="Z162" s="220">
        <v>2724569</v>
      </c>
    </row>
    <row r="163" spans="1:26" x14ac:dyDescent="0.25">
      <c r="A163" s="164" t="s">
        <v>428</v>
      </c>
      <c r="B163" s="165" t="s">
        <v>422</v>
      </c>
      <c r="C163" s="166" t="s">
        <v>429</v>
      </c>
      <c r="D163" s="220">
        <v>22595459</v>
      </c>
      <c r="E163" s="220">
        <v>0</v>
      </c>
      <c r="F163" s="220">
        <f t="shared" si="7"/>
        <v>22595459</v>
      </c>
      <c r="G163" s="221">
        <v>1998.06</v>
      </c>
      <c r="H163" s="167">
        <v>27</v>
      </c>
      <c r="I163" s="168">
        <v>0</v>
      </c>
      <c r="J163" s="166">
        <v>27</v>
      </c>
      <c r="K163" s="169">
        <v>0</v>
      </c>
      <c r="L163" s="223">
        <v>0</v>
      </c>
      <c r="M163" s="169">
        <v>0</v>
      </c>
      <c r="N163" s="166">
        <v>0</v>
      </c>
      <c r="O163" s="222">
        <v>0</v>
      </c>
      <c r="P163" s="169">
        <v>0</v>
      </c>
      <c r="Q163" s="171">
        <f t="shared" si="8"/>
        <v>27</v>
      </c>
      <c r="R163" s="168">
        <v>0</v>
      </c>
      <c r="S163" s="170">
        <v>0</v>
      </c>
      <c r="T163" s="170">
        <v>0</v>
      </c>
      <c r="U163" s="170">
        <v>0</v>
      </c>
      <c r="V163" s="170">
        <v>0</v>
      </c>
      <c r="W163" s="168">
        <f t="shared" si="9"/>
        <v>27</v>
      </c>
      <c r="X163" s="228">
        <v>100.711</v>
      </c>
      <c r="Y163" s="220">
        <v>2326466.5099999998</v>
      </c>
      <c r="Z163" s="220">
        <v>1665530</v>
      </c>
    </row>
    <row r="164" spans="1:26" x14ac:dyDescent="0.25">
      <c r="A164" s="164" t="s">
        <v>430</v>
      </c>
      <c r="B164" s="165" t="s">
        <v>422</v>
      </c>
      <c r="C164" s="166" t="s">
        <v>431</v>
      </c>
      <c r="D164" s="220">
        <v>37070226</v>
      </c>
      <c r="E164" s="220">
        <v>0</v>
      </c>
      <c r="F164" s="220">
        <f t="shared" si="7"/>
        <v>37070226</v>
      </c>
      <c r="G164" s="221">
        <v>92903.5</v>
      </c>
      <c r="H164" s="167">
        <v>27</v>
      </c>
      <c r="I164" s="168">
        <v>5.2279999999999998</v>
      </c>
      <c r="J164" s="166">
        <v>21.771999999999998</v>
      </c>
      <c r="K164" s="169">
        <v>0</v>
      </c>
      <c r="L164" s="170">
        <v>0</v>
      </c>
      <c r="M164" s="169">
        <v>1.9370000000000001</v>
      </c>
      <c r="N164" s="166">
        <v>0</v>
      </c>
      <c r="O164" s="222">
        <v>3.9009999999999998</v>
      </c>
      <c r="P164" s="169">
        <v>8.8999999999999996E-2</v>
      </c>
      <c r="Q164" s="171">
        <f t="shared" si="8"/>
        <v>27.698999999999998</v>
      </c>
      <c r="R164" s="168">
        <v>0</v>
      </c>
      <c r="S164" s="170">
        <v>0</v>
      </c>
      <c r="T164" s="170">
        <v>0</v>
      </c>
      <c r="U164" s="170">
        <v>0</v>
      </c>
      <c r="V164" s="170">
        <v>0</v>
      </c>
      <c r="W164" s="168">
        <f t="shared" si="9"/>
        <v>27.698999999999998</v>
      </c>
      <c r="X164" s="228">
        <v>37.409999999999997</v>
      </c>
      <c r="Y164" s="220">
        <v>1518430.27</v>
      </c>
      <c r="Z164" s="220">
        <v>438000</v>
      </c>
    </row>
    <row r="165" spans="1:26" x14ac:dyDescent="0.25">
      <c r="A165" s="164" t="s">
        <v>432</v>
      </c>
      <c r="B165" s="165" t="s">
        <v>433</v>
      </c>
      <c r="C165" s="166" t="s">
        <v>434</v>
      </c>
      <c r="D165" s="220">
        <v>1584484550</v>
      </c>
      <c r="E165" s="220">
        <v>-172311</v>
      </c>
      <c r="F165" s="220">
        <f t="shared" si="7"/>
        <v>1584312239</v>
      </c>
      <c r="G165" s="221">
        <v>2888.37</v>
      </c>
      <c r="H165" s="167">
        <v>9.6389999999999993</v>
      </c>
      <c r="I165" s="168">
        <v>1.4390000000000001</v>
      </c>
      <c r="J165" s="166">
        <v>8.1999999999999993</v>
      </c>
      <c r="K165" s="169">
        <v>0</v>
      </c>
      <c r="L165" s="170">
        <v>0</v>
      </c>
      <c r="M165" s="169">
        <v>0</v>
      </c>
      <c r="N165" s="166">
        <v>0</v>
      </c>
      <c r="O165" s="222">
        <v>2.464</v>
      </c>
      <c r="P165" s="169">
        <v>1E-3</v>
      </c>
      <c r="Q165" s="171">
        <f t="shared" si="8"/>
        <v>10.664999999999999</v>
      </c>
      <c r="R165" s="168">
        <v>6.0220000000000002</v>
      </c>
      <c r="S165" s="170">
        <v>0</v>
      </c>
      <c r="T165" s="170">
        <v>0</v>
      </c>
      <c r="U165" s="170">
        <v>0</v>
      </c>
      <c r="V165" s="170">
        <v>0</v>
      </c>
      <c r="W165" s="168">
        <f t="shared" si="9"/>
        <v>10.664999999999999</v>
      </c>
      <c r="X165" s="228">
        <v>11.116</v>
      </c>
      <c r="Y165" s="220">
        <v>18174298.379999999</v>
      </c>
      <c r="Z165" s="220">
        <v>4650506</v>
      </c>
    </row>
    <row r="166" spans="1:26" x14ac:dyDescent="0.25">
      <c r="A166" s="164" t="s">
        <v>435</v>
      </c>
      <c r="B166" s="165" t="s">
        <v>433</v>
      </c>
      <c r="C166" s="166" t="s">
        <v>436</v>
      </c>
      <c r="D166" s="220">
        <v>944244100</v>
      </c>
      <c r="E166" s="220">
        <v>0</v>
      </c>
      <c r="F166" s="220">
        <f t="shared" si="7"/>
        <v>944244100</v>
      </c>
      <c r="G166" s="221">
        <v>150424.24</v>
      </c>
      <c r="H166" s="167">
        <v>22.207999999999998</v>
      </c>
      <c r="I166" s="168">
        <v>0.77</v>
      </c>
      <c r="J166" s="166">
        <v>21.437999999999999</v>
      </c>
      <c r="K166" s="169">
        <v>0.84499999999999997</v>
      </c>
      <c r="L166" s="170">
        <v>0.73299999999999998</v>
      </c>
      <c r="M166" s="169">
        <v>0</v>
      </c>
      <c r="N166" s="166">
        <v>0</v>
      </c>
      <c r="O166" s="222">
        <v>2.86</v>
      </c>
      <c r="P166" s="169">
        <v>0.159</v>
      </c>
      <c r="Q166" s="171">
        <f t="shared" si="8"/>
        <v>26.034999999999997</v>
      </c>
      <c r="R166" s="168">
        <v>10.5</v>
      </c>
      <c r="S166" s="170">
        <v>0</v>
      </c>
      <c r="T166" s="170">
        <v>0</v>
      </c>
      <c r="U166" s="170">
        <v>0</v>
      </c>
      <c r="V166" s="170">
        <v>0</v>
      </c>
      <c r="W166" s="168">
        <f t="shared" si="9"/>
        <v>26.034999999999997</v>
      </c>
      <c r="X166" s="228">
        <v>19.527000000000001</v>
      </c>
      <c r="Y166" s="220">
        <v>19514541.68</v>
      </c>
      <c r="Z166" s="220">
        <v>0</v>
      </c>
    </row>
    <row r="167" spans="1:26" x14ac:dyDescent="0.25">
      <c r="A167" s="164" t="s">
        <v>437</v>
      </c>
      <c r="B167" s="165" t="s">
        <v>433</v>
      </c>
      <c r="C167" s="166" t="s">
        <v>438</v>
      </c>
      <c r="D167" s="220">
        <v>1937180970</v>
      </c>
      <c r="E167" s="220">
        <v>0</v>
      </c>
      <c r="F167" s="220">
        <f t="shared" si="7"/>
        <v>1937180970</v>
      </c>
      <c r="G167" s="221">
        <v>6862.8099999999995</v>
      </c>
      <c r="H167" s="167">
        <v>10.845000000000001</v>
      </c>
      <c r="I167" s="168">
        <v>0</v>
      </c>
      <c r="J167" s="166">
        <v>10.845000000000001</v>
      </c>
      <c r="K167" s="169">
        <v>0</v>
      </c>
      <c r="L167" s="170">
        <v>0</v>
      </c>
      <c r="M167" s="169">
        <v>2.4E-2</v>
      </c>
      <c r="N167" s="166">
        <v>0</v>
      </c>
      <c r="O167" s="222">
        <v>2.323</v>
      </c>
      <c r="P167" s="169">
        <v>3.0000000000000001E-3</v>
      </c>
      <c r="Q167" s="171">
        <f t="shared" si="8"/>
        <v>13.195</v>
      </c>
      <c r="R167" s="168">
        <v>3.8290000000000002</v>
      </c>
      <c r="S167" s="170">
        <v>0</v>
      </c>
      <c r="T167" s="170">
        <v>0</v>
      </c>
      <c r="U167" s="170">
        <v>0</v>
      </c>
      <c r="V167" s="170">
        <v>0</v>
      </c>
      <c r="W167" s="168">
        <f t="shared" si="9"/>
        <v>13.195</v>
      </c>
      <c r="X167" s="228">
        <v>12.393000000000001</v>
      </c>
      <c r="Y167" s="220">
        <v>24992684.260000002</v>
      </c>
      <c r="Z167" s="220">
        <v>3015041</v>
      </c>
    </row>
    <row r="168" spans="1:26" x14ac:dyDescent="0.25">
      <c r="A168" s="164" t="s">
        <v>439</v>
      </c>
      <c r="B168" s="165" t="s">
        <v>433</v>
      </c>
      <c r="C168" s="166" t="s">
        <v>440</v>
      </c>
      <c r="D168" s="220">
        <v>1632343680</v>
      </c>
      <c r="E168" s="220">
        <v>-1059658</v>
      </c>
      <c r="F168" s="220">
        <f t="shared" si="7"/>
        <v>1631284022</v>
      </c>
      <c r="G168" s="221">
        <v>146562.25</v>
      </c>
      <c r="H168" s="167">
        <v>27</v>
      </c>
      <c r="I168" s="168">
        <v>0</v>
      </c>
      <c r="J168" s="166">
        <v>27</v>
      </c>
      <c r="K168" s="169">
        <v>0</v>
      </c>
      <c r="L168" s="170">
        <v>0</v>
      </c>
      <c r="M168" s="169">
        <v>0</v>
      </c>
      <c r="N168" s="166">
        <v>0</v>
      </c>
      <c r="O168" s="222">
        <v>5.33</v>
      </c>
      <c r="P168" s="169">
        <v>0.09</v>
      </c>
      <c r="Q168" s="171">
        <f t="shared" si="8"/>
        <v>32.42</v>
      </c>
      <c r="R168" s="168">
        <v>18.459</v>
      </c>
      <c r="S168" s="170">
        <v>0</v>
      </c>
      <c r="T168" s="170">
        <v>0</v>
      </c>
      <c r="U168" s="170">
        <v>0</v>
      </c>
      <c r="V168" s="170">
        <v>0</v>
      </c>
      <c r="W168" s="168">
        <f t="shared" si="9"/>
        <v>32.42</v>
      </c>
      <c r="X168" s="228">
        <v>47.768999999999998</v>
      </c>
      <c r="Y168" s="220">
        <v>79330505.340000004</v>
      </c>
      <c r="Z168" s="220">
        <v>33664527</v>
      </c>
    </row>
    <row r="169" spans="1:26" x14ac:dyDescent="0.25">
      <c r="A169" s="164" t="s">
        <v>441</v>
      </c>
      <c r="B169" s="165" t="s">
        <v>433</v>
      </c>
      <c r="C169" s="166" t="s">
        <v>442</v>
      </c>
      <c r="D169" s="220">
        <v>652112343</v>
      </c>
      <c r="E169" s="220">
        <v>0</v>
      </c>
      <c r="F169" s="220">
        <f t="shared" si="7"/>
        <v>652112343</v>
      </c>
      <c r="G169" s="221">
        <v>89111.4</v>
      </c>
      <c r="H169" s="167">
        <v>27</v>
      </c>
      <c r="I169" s="168">
        <v>6.5860000000000003</v>
      </c>
      <c r="J169" s="166">
        <v>20.414000000000001</v>
      </c>
      <c r="K169" s="169">
        <v>0</v>
      </c>
      <c r="L169" s="170">
        <v>0</v>
      </c>
      <c r="M169" s="169">
        <v>0</v>
      </c>
      <c r="N169" s="166">
        <v>0</v>
      </c>
      <c r="O169" s="222">
        <v>6.9009999999999998</v>
      </c>
      <c r="P169" s="169">
        <v>0.13700000000000001</v>
      </c>
      <c r="Q169" s="171">
        <f t="shared" si="8"/>
        <v>27.452000000000002</v>
      </c>
      <c r="R169" s="168">
        <v>18.283000000000001</v>
      </c>
      <c r="S169" s="170">
        <v>0</v>
      </c>
      <c r="T169" s="170">
        <v>0</v>
      </c>
      <c r="U169" s="170">
        <v>0</v>
      </c>
      <c r="V169" s="170">
        <v>0</v>
      </c>
      <c r="W169" s="168">
        <f t="shared" si="9"/>
        <v>27.452000000000002</v>
      </c>
      <c r="X169" s="228">
        <v>55.179000000000002</v>
      </c>
      <c r="Y169" s="220">
        <v>36374404.950000003</v>
      </c>
      <c r="Z169" s="220">
        <v>22712518</v>
      </c>
    </row>
    <row r="170" spans="1:26" x14ac:dyDescent="0.25">
      <c r="A170" s="164" t="s">
        <v>443</v>
      </c>
      <c r="B170" s="165" t="s">
        <v>433</v>
      </c>
      <c r="C170" s="166" t="s">
        <v>444</v>
      </c>
      <c r="D170" s="220">
        <v>2711194710</v>
      </c>
      <c r="E170" s="220">
        <v>-199536616</v>
      </c>
      <c r="F170" s="220">
        <f t="shared" si="7"/>
        <v>2511658094</v>
      </c>
      <c r="G170" s="221">
        <v>333884.03999999998</v>
      </c>
      <c r="H170" s="167">
        <v>27</v>
      </c>
      <c r="I170" s="168">
        <v>0</v>
      </c>
      <c r="J170" s="166">
        <v>27</v>
      </c>
      <c r="K170" s="169">
        <v>0</v>
      </c>
      <c r="L170" s="170">
        <v>0</v>
      </c>
      <c r="M170" s="169">
        <v>0</v>
      </c>
      <c r="N170" s="166">
        <v>0</v>
      </c>
      <c r="O170" s="222">
        <v>10</v>
      </c>
      <c r="P170" s="169">
        <v>0.13300000000000001</v>
      </c>
      <c r="Q170" s="171">
        <f t="shared" si="8"/>
        <v>37.133000000000003</v>
      </c>
      <c r="R170" s="168">
        <v>13.266</v>
      </c>
      <c r="S170" s="170">
        <v>0</v>
      </c>
      <c r="T170" s="170">
        <v>0</v>
      </c>
      <c r="U170" s="170">
        <v>0</v>
      </c>
      <c r="V170" s="170">
        <v>0</v>
      </c>
      <c r="W170" s="168">
        <f t="shared" si="9"/>
        <v>37.133000000000003</v>
      </c>
      <c r="X170" s="228">
        <v>88.712000000000003</v>
      </c>
      <c r="Y170" s="220">
        <v>225612866.44</v>
      </c>
      <c r="Z170" s="220">
        <v>154688713</v>
      </c>
    </row>
    <row r="171" spans="1:26" x14ac:dyDescent="0.25">
      <c r="A171" s="164" t="s">
        <v>445</v>
      </c>
      <c r="B171" s="165" t="s">
        <v>433</v>
      </c>
      <c r="C171" s="166" t="s">
        <v>446</v>
      </c>
      <c r="D171" s="220">
        <v>2467322390</v>
      </c>
      <c r="E171" s="220">
        <v>0</v>
      </c>
      <c r="F171" s="220">
        <f t="shared" si="7"/>
        <v>2467322390</v>
      </c>
      <c r="G171" s="221">
        <v>23274.14</v>
      </c>
      <c r="H171" s="167">
        <v>5.6239999999999997</v>
      </c>
      <c r="I171" s="168">
        <v>0</v>
      </c>
      <c r="J171" s="166">
        <v>5.6239999999999997</v>
      </c>
      <c r="K171" s="169">
        <v>0.27</v>
      </c>
      <c r="L171" s="170">
        <v>0.88300000000000001</v>
      </c>
      <c r="M171" s="169">
        <v>0</v>
      </c>
      <c r="N171" s="166">
        <v>0</v>
      </c>
      <c r="O171" s="222">
        <v>1.177</v>
      </c>
      <c r="P171" s="169">
        <v>0</v>
      </c>
      <c r="Q171" s="171">
        <f t="shared" si="8"/>
        <v>7.9540000000000006</v>
      </c>
      <c r="R171" s="168">
        <v>2.7519999999999998</v>
      </c>
      <c r="S171" s="170">
        <v>0</v>
      </c>
      <c r="T171" s="170">
        <v>0</v>
      </c>
      <c r="U171" s="170">
        <v>0</v>
      </c>
      <c r="V171" s="170">
        <v>0</v>
      </c>
      <c r="W171" s="168">
        <f t="shared" si="9"/>
        <v>7.9540000000000006</v>
      </c>
      <c r="X171" s="228">
        <v>4.4710000000000001</v>
      </c>
      <c r="Y171" s="220">
        <v>11364072.85</v>
      </c>
      <c r="Z171" s="220">
        <v>11031398</v>
      </c>
    </row>
    <row r="172" spans="1:26" x14ac:dyDescent="0.25">
      <c r="A172" s="164" t="s">
        <v>447</v>
      </c>
      <c r="B172" s="172" t="s">
        <v>433</v>
      </c>
      <c r="C172" s="173" t="s">
        <v>448</v>
      </c>
      <c r="D172" s="220">
        <v>1548980460</v>
      </c>
      <c r="E172" s="220">
        <v>-49252353</v>
      </c>
      <c r="F172" s="220">
        <f t="shared" si="7"/>
        <v>1499728107</v>
      </c>
      <c r="G172" s="221">
        <v>22159.26</v>
      </c>
      <c r="H172" s="167">
        <v>12.143000000000001</v>
      </c>
      <c r="I172" s="168">
        <v>0</v>
      </c>
      <c r="J172" s="166">
        <v>12.143000000000001</v>
      </c>
      <c r="K172" s="169">
        <v>0</v>
      </c>
      <c r="L172" s="170">
        <v>0</v>
      </c>
      <c r="M172" s="169">
        <v>0</v>
      </c>
      <c r="N172" s="166">
        <v>0</v>
      </c>
      <c r="O172" s="222">
        <v>1.7829999999999999</v>
      </c>
      <c r="P172" s="169">
        <v>1.2999999999999999E-2</v>
      </c>
      <c r="Q172" s="171">
        <f t="shared" si="8"/>
        <v>13.939</v>
      </c>
      <c r="R172" s="168">
        <v>4.3970000000000002</v>
      </c>
      <c r="S172" s="170">
        <v>0</v>
      </c>
      <c r="T172" s="170">
        <v>0</v>
      </c>
      <c r="U172" s="170">
        <v>0</v>
      </c>
      <c r="V172" s="170">
        <v>0</v>
      </c>
      <c r="W172" s="168">
        <f t="shared" si="9"/>
        <v>13.939</v>
      </c>
      <c r="X172" s="228">
        <v>16.055</v>
      </c>
      <c r="Y172" s="220">
        <v>24255342.969999999</v>
      </c>
      <c r="Z172" s="220">
        <v>5734868</v>
      </c>
    </row>
    <row r="173" spans="1:26" x14ac:dyDescent="0.25">
      <c r="A173" s="164" t="s">
        <v>449</v>
      </c>
      <c r="B173" s="165" t="s">
        <v>433</v>
      </c>
      <c r="C173" s="166" t="s">
        <v>450</v>
      </c>
      <c r="D173" s="220">
        <v>488213650</v>
      </c>
      <c r="E173" s="220">
        <v>0</v>
      </c>
      <c r="F173" s="220">
        <f t="shared" si="7"/>
        <v>488213650</v>
      </c>
      <c r="G173" s="221">
        <v>2656.78</v>
      </c>
      <c r="H173" s="167">
        <v>27</v>
      </c>
      <c r="I173" s="168">
        <v>8.1199999999999992</v>
      </c>
      <c r="J173" s="166">
        <v>18.88</v>
      </c>
      <c r="K173" s="169">
        <v>0</v>
      </c>
      <c r="L173" s="170">
        <v>0</v>
      </c>
      <c r="M173" s="169">
        <v>0</v>
      </c>
      <c r="N173" s="166">
        <v>0</v>
      </c>
      <c r="O173" s="222">
        <v>1.8440000000000001</v>
      </c>
      <c r="P173" s="169">
        <v>5.0000000000000001E-3</v>
      </c>
      <c r="Q173" s="171">
        <f t="shared" si="8"/>
        <v>20.728999999999999</v>
      </c>
      <c r="R173" s="168">
        <v>2.109</v>
      </c>
      <c r="S173" s="170">
        <v>0</v>
      </c>
      <c r="T173" s="170">
        <v>0</v>
      </c>
      <c r="U173" s="170">
        <v>0</v>
      </c>
      <c r="V173" s="170">
        <v>0</v>
      </c>
      <c r="W173" s="168">
        <f t="shared" si="9"/>
        <v>20.728999999999999</v>
      </c>
      <c r="X173" s="228">
        <v>20.353000000000002</v>
      </c>
      <c r="Y173" s="220">
        <v>10232293.92</v>
      </c>
      <c r="Z173" s="220">
        <v>724193</v>
      </c>
    </row>
    <row r="174" spans="1:26" x14ac:dyDescent="0.25">
      <c r="A174" s="164" t="s">
        <v>451</v>
      </c>
      <c r="B174" s="172" t="s">
        <v>433</v>
      </c>
      <c r="C174" s="173" t="s">
        <v>452</v>
      </c>
      <c r="D174" s="220">
        <v>352130200</v>
      </c>
      <c r="E174" s="220">
        <v>0</v>
      </c>
      <c r="F174" s="220">
        <f t="shared" si="7"/>
        <v>352130200</v>
      </c>
      <c r="G174" s="221">
        <v>62.4</v>
      </c>
      <c r="H174" s="167">
        <v>12.375999999999999</v>
      </c>
      <c r="I174" s="168">
        <v>0</v>
      </c>
      <c r="J174" s="166">
        <v>12.375999999999999</v>
      </c>
      <c r="K174" s="169">
        <v>0.40799999999999997</v>
      </c>
      <c r="L174" s="170">
        <v>3.504</v>
      </c>
      <c r="M174" s="169">
        <v>0</v>
      </c>
      <c r="N174" s="166">
        <v>0</v>
      </c>
      <c r="O174" s="222">
        <v>2.2719999999999998</v>
      </c>
      <c r="P174" s="169">
        <v>0</v>
      </c>
      <c r="Q174" s="171">
        <f t="shared" si="8"/>
        <v>18.559999999999999</v>
      </c>
      <c r="R174" s="168">
        <v>1.07</v>
      </c>
      <c r="S174" s="170">
        <v>0</v>
      </c>
      <c r="T174" s="170">
        <v>0</v>
      </c>
      <c r="U174" s="170">
        <v>0</v>
      </c>
      <c r="V174" s="170">
        <v>0</v>
      </c>
      <c r="W174" s="168">
        <f t="shared" si="9"/>
        <v>18.559999999999999</v>
      </c>
      <c r="X174" s="228">
        <v>8.4640000000000004</v>
      </c>
      <c r="Y174" s="220">
        <v>2990961.91</v>
      </c>
      <c r="Z174" s="220">
        <v>0</v>
      </c>
    </row>
    <row r="175" spans="1:26" x14ac:dyDescent="0.25">
      <c r="A175" s="164" t="s">
        <v>453</v>
      </c>
      <c r="B175" s="165" t="s">
        <v>433</v>
      </c>
      <c r="C175" s="166" t="s">
        <v>454</v>
      </c>
      <c r="D175" s="220">
        <v>520286730</v>
      </c>
      <c r="E175" s="220">
        <v>0</v>
      </c>
      <c r="F175" s="220">
        <f t="shared" si="7"/>
        <v>520286730</v>
      </c>
      <c r="G175" s="221">
        <v>40.64</v>
      </c>
      <c r="H175" s="167">
        <v>5.0679999999999996</v>
      </c>
      <c r="I175" s="168">
        <v>0</v>
      </c>
      <c r="J175" s="166">
        <v>5.0679999999999996</v>
      </c>
      <c r="K175" s="169">
        <v>0</v>
      </c>
      <c r="L175" s="170">
        <v>0</v>
      </c>
      <c r="M175" s="169">
        <v>0</v>
      </c>
      <c r="N175" s="166">
        <v>0</v>
      </c>
      <c r="O175" s="222">
        <v>0.14399999999999999</v>
      </c>
      <c r="P175" s="169">
        <v>0</v>
      </c>
      <c r="Q175" s="171">
        <f t="shared" si="8"/>
        <v>5.2119999999999997</v>
      </c>
      <c r="R175" s="168">
        <v>0.48799999999999999</v>
      </c>
      <c r="S175" s="170">
        <v>0</v>
      </c>
      <c r="T175" s="170">
        <v>0</v>
      </c>
      <c r="U175" s="170">
        <v>0</v>
      </c>
      <c r="V175" s="170">
        <v>0</v>
      </c>
      <c r="W175" s="168">
        <f t="shared" si="9"/>
        <v>5.2119999999999997</v>
      </c>
      <c r="X175" s="228">
        <v>5.4470000000000001</v>
      </c>
      <c r="Y175" s="220">
        <v>3156962.51</v>
      </c>
      <c r="Z175" s="220">
        <v>212796</v>
      </c>
    </row>
    <row r="176" spans="1:26" x14ac:dyDescent="0.25">
      <c r="A176" s="164" t="s">
        <v>455</v>
      </c>
      <c r="B176" s="165" t="s">
        <v>433</v>
      </c>
      <c r="C176" s="166" t="s">
        <v>456</v>
      </c>
      <c r="D176" s="220">
        <v>540039500</v>
      </c>
      <c r="E176" s="220">
        <v>0</v>
      </c>
      <c r="F176" s="220">
        <f t="shared" si="7"/>
        <v>540039500</v>
      </c>
      <c r="G176" s="221">
        <v>90.99</v>
      </c>
      <c r="H176" s="167">
        <v>4.2930000000000001</v>
      </c>
      <c r="I176" s="168">
        <v>0</v>
      </c>
      <c r="J176" s="166">
        <v>2.2869999999999999</v>
      </c>
      <c r="K176" s="169">
        <v>0.13200000000000001</v>
      </c>
      <c r="L176" s="170">
        <v>1.8740000000000001</v>
      </c>
      <c r="M176" s="169">
        <v>0</v>
      </c>
      <c r="N176" s="166">
        <v>0</v>
      </c>
      <c r="O176" s="222">
        <v>0.75</v>
      </c>
      <c r="P176" s="169">
        <v>0</v>
      </c>
      <c r="Q176" s="171">
        <f t="shared" si="8"/>
        <v>5.0430000000000001</v>
      </c>
      <c r="R176" s="168">
        <v>0</v>
      </c>
      <c r="S176" s="170">
        <v>0</v>
      </c>
      <c r="T176" s="170">
        <v>0</v>
      </c>
      <c r="U176" s="170">
        <v>0</v>
      </c>
      <c r="V176" s="170">
        <v>0</v>
      </c>
      <c r="W176" s="168">
        <f t="shared" si="9"/>
        <v>5.0430000000000001</v>
      </c>
      <c r="X176" s="228">
        <v>2.2869999999999999</v>
      </c>
      <c r="Y176" s="220">
        <v>1352119.29</v>
      </c>
      <c r="Z176" s="220">
        <v>0</v>
      </c>
    </row>
    <row r="177" spans="1:26" x14ac:dyDescent="0.25">
      <c r="A177" s="164" t="s">
        <v>457</v>
      </c>
      <c r="B177" s="165" t="s">
        <v>458</v>
      </c>
      <c r="C177" s="166" t="s">
        <v>459</v>
      </c>
      <c r="D177" s="220">
        <v>144487490</v>
      </c>
      <c r="E177" s="220">
        <v>0</v>
      </c>
      <c r="F177" s="220">
        <f t="shared" si="7"/>
        <v>144487490</v>
      </c>
      <c r="G177" s="221">
        <v>3459.25</v>
      </c>
      <c r="H177" s="167">
        <v>27</v>
      </c>
      <c r="I177" s="168">
        <v>6.6550000000000002</v>
      </c>
      <c r="J177" s="166">
        <v>20.344999999999999</v>
      </c>
      <c r="K177" s="169">
        <v>0</v>
      </c>
      <c r="L177" s="170">
        <v>0</v>
      </c>
      <c r="M177" s="169">
        <v>0</v>
      </c>
      <c r="N177" s="166">
        <v>0</v>
      </c>
      <c r="O177" s="222">
        <v>8.2639999999999993</v>
      </c>
      <c r="P177" s="169">
        <v>2.3900000000000001E-2</v>
      </c>
      <c r="Q177" s="171">
        <f t="shared" si="8"/>
        <v>28.632899999999999</v>
      </c>
      <c r="R177" s="168">
        <v>9.6829999999999998</v>
      </c>
      <c r="S177" s="170">
        <v>0</v>
      </c>
      <c r="T177" s="170">
        <v>0</v>
      </c>
      <c r="U177" s="170">
        <v>0</v>
      </c>
      <c r="V177" s="170">
        <v>0</v>
      </c>
      <c r="W177" s="168">
        <f t="shared" si="9"/>
        <v>28.632899999999999</v>
      </c>
      <c r="X177" s="228">
        <v>38.314999999999998</v>
      </c>
      <c r="Y177" s="220">
        <v>9507575.9399999995</v>
      </c>
      <c r="Z177" s="220">
        <v>6338859</v>
      </c>
    </row>
    <row r="178" spans="1:26" x14ac:dyDescent="0.25">
      <c r="A178" s="164" t="s">
        <v>460</v>
      </c>
      <c r="B178" s="165" t="s">
        <v>458</v>
      </c>
      <c r="C178" s="166" t="s">
        <v>461</v>
      </c>
      <c r="D178" s="220">
        <v>123407780</v>
      </c>
      <c r="E178" s="220">
        <v>0</v>
      </c>
      <c r="F178" s="220">
        <f t="shared" si="7"/>
        <v>123407780</v>
      </c>
      <c r="G178" s="221">
        <v>2805.35</v>
      </c>
      <c r="H178" s="167">
        <v>27</v>
      </c>
      <c r="I178" s="168">
        <v>9.968</v>
      </c>
      <c r="J178" s="166">
        <v>17.032</v>
      </c>
      <c r="K178" s="169">
        <v>0</v>
      </c>
      <c r="L178" s="170">
        <v>0</v>
      </c>
      <c r="M178" s="169">
        <v>0</v>
      </c>
      <c r="N178" s="166">
        <v>0</v>
      </c>
      <c r="O178" s="222">
        <v>11.92</v>
      </c>
      <c r="P178" s="169">
        <v>2.273E-2</v>
      </c>
      <c r="Q178" s="171">
        <f t="shared" si="8"/>
        <v>28.974729999999997</v>
      </c>
      <c r="R178" s="168">
        <v>14.336</v>
      </c>
      <c r="S178" s="170">
        <v>0</v>
      </c>
      <c r="T178" s="170">
        <v>0</v>
      </c>
      <c r="U178" s="170">
        <v>0</v>
      </c>
      <c r="V178" s="170">
        <v>0</v>
      </c>
      <c r="W178" s="168">
        <f t="shared" si="9"/>
        <v>28.974729999999997</v>
      </c>
      <c r="X178" s="228">
        <v>61.694000000000003</v>
      </c>
      <c r="Y178" s="220">
        <v>7753079.2300000004</v>
      </c>
      <c r="Z178" s="220">
        <v>5510505</v>
      </c>
    </row>
    <row r="179" spans="1:26" x14ac:dyDescent="0.25">
      <c r="A179" s="164" t="s">
        <v>462</v>
      </c>
      <c r="B179" s="165" t="s">
        <v>458</v>
      </c>
      <c r="C179" s="166" t="s">
        <v>463</v>
      </c>
      <c r="D179" s="220">
        <v>19793741</v>
      </c>
      <c r="E179" s="220">
        <v>0</v>
      </c>
      <c r="F179" s="220">
        <f t="shared" si="7"/>
        <v>19793741</v>
      </c>
      <c r="G179" s="221">
        <v>293.64</v>
      </c>
      <c r="H179" s="167">
        <v>27</v>
      </c>
      <c r="I179" s="168">
        <v>3.5019999999999998</v>
      </c>
      <c r="J179" s="166">
        <v>23.498000000000001</v>
      </c>
      <c r="K179" s="169">
        <v>0</v>
      </c>
      <c r="L179" s="170">
        <v>0</v>
      </c>
      <c r="M179" s="169">
        <v>0</v>
      </c>
      <c r="N179" s="166">
        <v>0</v>
      </c>
      <c r="O179" s="222">
        <v>0</v>
      </c>
      <c r="P179" s="169">
        <v>0</v>
      </c>
      <c r="Q179" s="171">
        <f t="shared" si="8"/>
        <v>23.498000000000001</v>
      </c>
      <c r="R179" s="168">
        <v>13.5</v>
      </c>
      <c r="S179" s="170">
        <v>0</v>
      </c>
      <c r="T179" s="170">
        <v>0</v>
      </c>
      <c r="U179" s="170">
        <v>0</v>
      </c>
      <c r="V179" s="170">
        <v>0</v>
      </c>
      <c r="W179" s="168">
        <f t="shared" si="9"/>
        <v>23.498000000000001</v>
      </c>
      <c r="X179" s="228">
        <v>152.399</v>
      </c>
      <c r="Y179" s="220">
        <v>3096878.8</v>
      </c>
      <c r="Z179" s="220">
        <v>2581082</v>
      </c>
    </row>
    <row r="180" spans="1:26" x14ac:dyDescent="0.25">
      <c r="A180" s="164" t="s">
        <v>464</v>
      </c>
      <c r="B180" s="165" t="s">
        <v>458</v>
      </c>
      <c r="C180" s="166" t="s">
        <v>465</v>
      </c>
      <c r="D180" s="220">
        <v>16452472</v>
      </c>
      <c r="E180" s="220">
        <v>0</v>
      </c>
      <c r="F180" s="220">
        <f t="shared" si="7"/>
        <v>16452472</v>
      </c>
      <c r="G180" s="221">
        <v>12.36</v>
      </c>
      <c r="H180" s="167">
        <v>27</v>
      </c>
      <c r="I180" s="168">
        <v>5.3250000000000002</v>
      </c>
      <c r="J180" s="166">
        <v>21.675000000000001</v>
      </c>
      <c r="K180" s="169">
        <v>0</v>
      </c>
      <c r="L180" s="170">
        <v>0</v>
      </c>
      <c r="M180" s="169">
        <v>0</v>
      </c>
      <c r="N180" s="166">
        <v>0</v>
      </c>
      <c r="O180" s="222">
        <v>19.399999999999999</v>
      </c>
      <c r="P180" s="169">
        <v>0</v>
      </c>
      <c r="Q180" s="171">
        <f t="shared" si="8"/>
        <v>41.075000000000003</v>
      </c>
      <c r="R180" s="168">
        <v>0</v>
      </c>
      <c r="S180" s="170">
        <v>0</v>
      </c>
      <c r="T180" s="170">
        <v>0</v>
      </c>
      <c r="U180" s="170">
        <v>0</v>
      </c>
      <c r="V180" s="170">
        <v>0</v>
      </c>
      <c r="W180" s="168">
        <f t="shared" si="9"/>
        <v>41.075000000000003</v>
      </c>
      <c r="X180" s="228">
        <v>72.679000000000002</v>
      </c>
      <c r="Y180" s="220">
        <v>1236153</v>
      </c>
      <c r="Z180" s="220">
        <v>356607</v>
      </c>
    </row>
    <row r="181" spans="1:26" x14ac:dyDescent="0.25">
      <c r="K181" s="139"/>
      <c r="Q181" s="178">
        <f t="shared" ref="Q181:W181" si="10">SUM(Q3:Q180)</f>
        <v>4618.4256299999997</v>
      </c>
      <c r="R181" s="178">
        <f t="shared" si="10"/>
        <v>1191.4479999999996</v>
      </c>
      <c r="S181" s="178">
        <f t="shared" si="10"/>
        <v>6.9149999999999991</v>
      </c>
      <c r="T181" s="178">
        <f t="shared" si="10"/>
        <v>10.345000000000001</v>
      </c>
      <c r="U181" s="178">
        <f t="shared" si="10"/>
        <v>11.417999999999999</v>
      </c>
      <c r="V181" s="178">
        <f t="shared" si="10"/>
        <v>13.138999999999999</v>
      </c>
      <c r="W181" s="178">
        <f t="shared" si="10"/>
        <v>4660.2426299999997</v>
      </c>
      <c r="X181" s="225">
        <f t="shared" ref="X181:Z181" si="11">SUM(X3:X180)</f>
        <v>15713.190399999994</v>
      </c>
      <c r="Y181" s="178">
        <f t="shared" si="11"/>
        <v>8749219867.75</v>
      </c>
      <c r="Z181" s="178">
        <f t="shared" si="11"/>
        <v>5312276046.6000004</v>
      </c>
    </row>
    <row r="182" spans="1:26" x14ac:dyDescent="0.25">
      <c r="D182" s="215">
        <f>SUM(D3:D181)</f>
        <v>150142692975</v>
      </c>
      <c r="E182" s="215">
        <f>SUM(E3:E181)</f>
        <v>-4650642540</v>
      </c>
      <c r="F182" s="215">
        <f>SUM(F3:F181)</f>
        <v>145492050435</v>
      </c>
      <c r="G182" s="215">
        <f>SUM(G3:G181)</f>
        <v>66797835.130000032</v>
      </c>
      <c r="H182" s="225">
        <f t="shared" ref="H182:P182" si="12">SUM(H3:H181)</f>
        <v>4137.521999999999</v>
      </c>
      <c r="I182" s="225">
        <f t="shared" si="12"/>
        <v>428.1579999999999</v>
      </c>
      <c r="J182" s="225">
        <f t="shared" si="12"/>
        <v>3707.3599999999979</v>
      </c>
      <c r="K182" s="225">
        <f t="shared" si="12"/>
        <v>5.9739999999999993</v>
      </c>
      <c r="L182" s="225">
        <f t="shared" si="12"/>
        <v>6.9939999999999998</v>
      </c>
      <c r="M182" s="225">
        <f t="shared" si="12"/>
        <v>39.481000000000002</v>
      </c>
      <c r="N182" s="225">
        <f t="shared" si="12"/>
        <v>5.1999999999999998E-2</v>
      </c>
      <c r="O182" s="225">
        <f t="shared" si="12"/>
        <v>837.28300000000002</v>
      </c>
      <c r="P182" s="225">
        <f t="shared" si="12"/>
        <v>21.28163</v>
      </c>
      <c r="Q182" s="141"/>
      <c r="R182" s="141"/>
      <c r="S182" s="141"/>
      <c r="T182" s="141"/>
      <c r="U182" s="141"/>
      <c r="V182" s="141"/>
      <c r="W182" s="141"/>
    </row>
    <row r="184" spans="1:26" s="141" customFormat="1" x14ac:dyDescent="0.25">
      <c r="D184" s="215"/>
      <c r="E184" s="215"/>
      <c r="F184" s="215"/>
      <c r="G184" s="215"/>
      <c r="H184" s="135"/>
      <c r="O184" s="226"/>
      <c r="X184" s="225"/>
      <c r="Y184" s="215"/>
      <c r="Z184" s="215"/>
    </row>
    <row r="186" spans="1:26" x14ac:dyDescent="0.25">
      <c r="J186" s="141"/>
      <c r="K186" s="141"/>
      <c r="L186" s="141"/>
      <c r="M186" s="141"/>
      <c r="N186" s="141"/>
      <c r="O186" s="226"/>
      <c r="P186" s="141"/>
      <c r="Q186" s="141"/>
      <c r="R186" s="141"/>
      <c r="S186" s="141"/>
      <c r="T186" s="141"/>
      <c r="U186" s="141"/>
      <c r="V186" s="141"/>
      <c r="W186" s="141"/>
    </row>
  </sheetData>
  <sheetProtection algorithmName="SHA-512" hashValue="Z+XwMfnfHiRJsCMnLkmLWyhbr12oQ2m9IZhezlTxj3/9SnlmSLxYc94u7+PO8VsT++Fgsj3nyMFsKkBA+ZWIJw==" saltValue="ViSWRPM5S532q5gyEnPGuA==" spinCount="100000" sheet="1" objects="1" scenarios="1"/>
  <autoFilter ref="A2:W180" xr:uid="{00000000-0001-0000-0100-000000000000}"/>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5671-9367-4CF0-8928-767EB94185E7}">
  <dimension ref="A1:Z182"/>
  <sheetViews>
    <sheetView workbookViewId="0">
      <pane xSplit="2" ySplit="2" topLeftCell="T160" activePane="bottomRight" state="frozen"/>
      <selection pane="topRight" activeCell="C1" sqref="C1"/>
      <selection pane="bottomLeft" activeCell="A3" sqref="A3"/>
      <selection pane="bottomRight" activeCell="W160" sqref="W160"/>
    </sheetView>
  </sheetViews>
  <sheetFormatPr defaultRowHeight="12.5" x14ac:dyDescent="0.25"/>
  <cols>
    <col min="1" max="1" width="7.1640625" style="288" customWidth="1"/>
    <col min="2" max="2" width="15.1640625" style="285" bestFit="1" customWidth="1"/>
    <col min="3" max="3" width="17" style="285" bestFit="1" customWidth="1"/>
    <col min="4" max="4" width="23.6640625" style="286" bestFit="1" customWidth="1"/>
    <col min="5" max="5" width="14.1640625" style="286" bestFit="1" customWidth="1"/>
    <col min="6" max="6" width="27" style="286" bestFit="1" customWidth="1"/>
    <col min="7" max="7" width="20.9140625" style="286" bestFit="1" customWidth="1"/>
    <col min="8" max="8" width="21.83203125" style="287" bestFit="1" customWidth="1"/>
    <col min="9" max="9" width="26.4140625" style="287" bestFit="1" customWidth="1"/>
    <col min="10" max="10" width="23.6640625" style="287" bestFit="1" customWidth="1"/>
    <col min="11" max="11" width="23.33203125" style="287" bestFit="1" customWidth="1"/>
    <col min="12" max="12" width="27.9140625" style="287" bestFit="1" customWidth="1"/>
    <col min="13" max="13" width="21.5" style="287" bestFit="1" customWidth="1"/>
    <col min="14" max="14" width="26.75" style="287" bestFit="1" customWidth="1"/>
    <col min="15" max="15" width="24.58203125" style="287" bestFit="1" customWidth="1"/>
    <col min="16" max="16" width="14.5" style="287" bestFit="1" customWidth="1"/>
    <col min="17" max="17" width="13.58203125" style="287" bestFit="1" customWidth="1"/>
    <col min="18" max="18" width="22.25" style="287" bestFit="1" customWidth="1"/>
    <col min="19" max="19" width="15.75" style="287" bestFit="1" customWidth="1"/>
    <col min="20" max="20" width="9.4140625" style="287" bestFit="1" customWidth="1"/>
    <col min="21" max="21" width="29.33203125" style="287" bestFit="1" customWidth="1"/>
    <col min="22" max="22" width="15.75" style="287" bestFit="1" customWidth="1"/>
    <col min="23" max="23" width="8.6640625" style="287"/>
    <col min="24" max="24" width="22.25" style="287" bestFit="1" customWidth="1"/>
    <col min="25" max="25" width="15.75" style="286" bestFit="1" customWidth="1"/>
    <col min="26" max="16384" width="8.6640625" style="285"/>
  </cols>
  <sheetData>
    <row r="1" spans="1:26" s="291" customFormat="1" x14ac:dyDescent="0.25">
      <c r="A1" s="291">
        <v>1</v>
      </c>
      <c r="B1" s="291">
        <v>2</v>
      </c>
      <c r="C1" s="291">
        <v>3</v>
      </c>
      <c r="D1" s="291">
        <v>4</v>
      </c>
      <c r="E1" s="291">
        <v>5</v>
      </c>
      <c r="F1" s="291">
        <v>6</v>
      </c>
      <c r="G1" s="291">
        <v>7</v>
      </c>
      <c r="H1" s="291">
        <v>8</v>
      </c>
      <c r="I1" s="291">
        <v>9</v>
      </c>
      <c r="J1" s="291">
        <v>10</v>
      </c>
      <c r="K1" s="291">
        <v>11</v>
      </c>
      <c r="L1" s="291">
        <v>12</v>
      </c>
      <c r="M1" s="291">
        <v>13</v>
      </c>
      <c r="N1" s="291">
        <v>14</v>
      </c>
      <c r="O1" s="291">
        <v>15</v>
      </c>
      <c r="P1" s="291">
        <v>16</v>
      </c>
      <c r="Q1" s="291">
        <v>17</v>
      </c>
      <c r="R1" s="291">
        <v>18</v>
      </c>
      <c r="S1" s="291">
        <v>19</v>
      </c>
      <c r="T1" s="291">
        <v>20</v>
      </c>
      <c r="U1" s="291">
        <v>21</v>
      </c>
      <c r="V1" s="291">
        <v>22</v>
      </c>
      <c r="W1" s="291">
        <v>23</v>
      </c>
    </row>
    <row r="2" spans="1:26" x14ac:dyDescent="0.25">
      <c r="A2" s="288" t="s">
        <v>73</v>
      </c>
      <c r="B2" s="285" t="s">
        <v>74</v>
      </c>
      <c r="C2" s="285" t="s">
        <v>75</v>
      </c>
      <c r="D2" s="286" t="s">
        <v>586</v>
      </c>
      <c r="E2" s="286" t="s">
        <v>587</v>
      </c>
      <c r="F2" s="286" t="s">
        <v>588</v>
      </c>
      <c r="G2" s="286" t="s">
        <v>814</v>
      </c>
      <c r="H2" s="287" t="s">
        <v>590</v>
      </c>
      <c r="I2" s="287" t="s">
        <v>591</v>
      </c>
      <c r="J2" s="287" t="s">
        <v>592</v>
      </c>
      <c r="K2" s="287" t="s">
        <v>593</v>
      </c>
      <c r="L2" s="287" t="s">
        <v>594</v>
      </c>
      <c r="M2" s="287" t="s">
        <v>595</v>
      </c>
      <c r="N2" s="287" t="s">
        <v>596</v>
      </c>
      <c r="O2" s="287" t="s">
        <v>597</v>
      </c>
      <c r="P2" s="287" t="s">
        <v>598</v>
      </c>
      <c r="Q2" s="287" t="s">
        <v>599</v>
      </c>
      <c r="R2" s="287" t="s">
        <v>600</v>
      </c>
      <c r="S2" s="287" t="s">
        <v>601</v>
      </c>
      <c r="T2" s="287" t="s">
        <v>602</v>
      </c>
      <c r="U2" s="287" t="s">
        <v>610</v>
      </c>
      <c r="V2" s="287" t="s">
        <v>604</v>
      </c>
      <c r="W2" s="287" t="s">
        <v>813</v>
      </c>
      <c r="X2" s="287" t="s">
        <v>606</v>
      </c>
      <c r="Y2" s="286" t="s">
        <v>608</v>
      </c>
      <c r="Z2" s="285" t="s">
        <v>812</v>
      </c>
    </row>
    <row r="3" spans="1:26" x14ac:dyDescent="0.25">
      <c r="A3" s="290" t="s">
        <v>76</v>
      </c>
      <c r="B3" s="285" t="s">
        <v>77</v>
      </c>
      <c r="C3" s="285" t="s">
        <v>811</v>
      </c>
      <c r="D3" s="286">
        <v>1232202510</v>
      </c>
      <c r="E3" s="286">
        <v>31247520</v>
      </c>
      <c r="F3" s="286">
        <v>1200954990</v>
      </c>
      <c r="G3" s="286">
        <v>159684.66</v>
      </c>
      <c r="H3" s="287">
        <v>27</v>
      </c>
      <c r="I3" s="287">
        <v>0</v>
      </c>
      <c r="J3" s="287">
        <v>27</v>
      </c>
      <c r="K3" s="287">
        <v>0</v>
      </c>
      <c r="L3" s="287">
        <v>0</v>
      </c>
      <c r="M3" s="287">
        <v>0.17799999999999999</v>
      </c>
      <c r="N3" s="287">
        <v>0</v>
      </c>
      <c r="O3" s="287">
        <v>15.164</v>
      </c>
      <c r="P3" s="287">
        <v>0.13300000000000001</v>
      </c>
      <c r="Q3" s="287">
        <v>42.475000000000001</v>
      </c>
      <c r="R3" s="287">
        <v>10.079000000000001</v>
      </c>
      <c r="S3" s="287">
        <v>0</v>
      </c>
      <c r="T3" s="287">
        <v>0</v>
      </c>
      <c r="U3" s="287">
        <v>0</v>
      </c>
      <c r="V3" s="287">
        <v>0</v>
      </c>
      <c r="W3" s="287">
        <v>52.554000000000002</v>
      </c>
      <c r="X3" s="287">
        <v>58.73</v>
      </c>
      <c r="Y3" s="286">
        <v>39194701.924000002</v>
      </c>
      <c r="Z3" s="285" t="s">
        <v>633</v>
      </c>
    </row>
    <row r="4" spans="1:26" x14ac:dyDescent="0.25">
      <c r="A4" s="290" t="s">
        <v>79</v>
      </c>
      <c r="B4" s="285" t="s">
        <v>77</v>
      </c>
      <c r="C4" s="285" t="s">
        <v>810</v>
      </c>
      <c r="D4" s="286">
        <v>4751144900</v>
      </c>
      <c r="E4" s="286">
        <v>506863436</v>
      </c>
      <c r="F4" s="286">
        <v>4244281464</v>
      </c>
      <c r="G4" s="286">
        <v>0</v>
      </c>
      <c r="H4" s="287">
        <v>27</v>
      </c>
      <c r="I4" s="287">
        <v>0</v>
      </c>
      <c r="J4" s="287">
        <v>27</v>
      </c>
      <c r="K4" s="287">
        <v>0</v>
      </c>
      <c r="L4" s="287">
        <v>0</v>
      </c>
      <c r="M4" s="287">
        <v>0</v>
      </c>
      <c r="N4" s="287">
        <v>0</v>
      </c>
      <c r="O4" s="287">
        <v>15.930999999999999</v>
      </c>
      <c r="P4" s="287">
        <v>0.16400000000000001</v>
      </c>
      <c r="Q4" s="287">
        <v>43.094999999999999</v>
      </c>
      <c r="R4" s="287">
        <v>18.664999999999999</v>
      </c>
      <c r="S4" s="287">
        <v>0</v>
      </c>
      <c r="T4" s="287">
        <v>0</v>
      </c>
      <c r="U4" s="287">
        <v>0</v>
      </c>
      <c r="V4" s="287">
        <v>0</v>
      </c>
      <c r="W4" s="287">
        <v>61.76</v>
      </c>
      <c r="X4" s="287">
        <v>94.313000000000002</v>
      </c>
      <c r="Y4" s="286">
        <v>302383464.96499997</v>
      </c>
      <c r="Z4" s="285" t="s">
        <v>633</v>
      </c>
    </row>
    <row r="5" spans="1:26" x14ac:dyDescent="0.25">
      <c r="A5" s="289" t="s">
        <v>81</v>
      </c>
      <c r="B5" s="285" t="s">
        <v>77</v>
      </c>
      <c r="C5" s="285" t="s">
        <v>809</v>
      </c>
      <c r="D5" s="286">
        <v>1244394380</v>
      </c>
      <c r="E5" s="286">
        <v>10144740</v>
      </c>
      <c r="F5" s="286">
        <v>1234249640</v>
      </c>
      <c r="G5" s="286">
        <v>55449</v>
      </c>
      <c r="H5" s="287">
        <v>27</v>
      </c>
      <c r="I5" s="287">
        <v>0</v>
      </c>
      <c r="J5" s="287">
        <v>27</v>
      </c>
      <c r="K5" s="287">
        <v>0</v>
      </c>
      <c r="L5" s="287">
        <v>0</v>
      </c>
      <c r="M5" s="287">
        <v>0</v>
      </c>
      <c r="N5" s="287">
        <v>0</v>
      </c>
      <c r="O5" s="287">
        <v>3.9620000000000002</v>
      </c>
      <c r="P5" s="287">
        <v>4.4999999999999998E-2</v>
      </c>
      <c r="Q5" s="287">
        <v>31.007000000000001</v>
      </c>
      <c r="R5" s="287">
        <v>6.0679999999999996</v>
      </c>
      <c r="S5" s="287">
        <v>0</v>
      </c>
      <c r="T5" s="287">
        <v>0</v>
      </c>
      <c r="U5" s="287">
        <v>0</v>
      </c>
      <c r="V5" s="287">
        <v>0</v>
      </c>
      <c r="W5" s="287">
        <v>37.075000000000003</v>
      </c>
      <c r="X5" s="287">
        <v>54.253999999999998</v>
      </c>
      <c r="Y5" s="286">
        <v>34647506.810999997</v>
      </c>
      <c r="Z5" s="285" t="s">
        <v>633</v>
      </c>
    </row>
    <row r="6" spans="1:26" x14ac:dyDescent="0.25">
      <c r="A6" s="289" t="s">
        <v>83</v>
      </c>
      <c r="B6" s="285" t="s">
        <v>77</v>
      </c>
      <c r="C6" s="285" t="s">
        <v>808</v>
      </c>
      <c r="D6" s="286">
        <v>3430530710</v>
      </c>
      <c r="E6" s="286">
        <v>405483181</v>
      </c>
      <c r="F6" s="286">
        <v>3025047529</v>
      </c>
      <c r="G6" s="286">
        <v>175278.13</v>
      </c>
      <c r="H6" s="287">
        <v>27</v>
      </c>
      <c r="I6" s="287">
        <v>0</v>
      </c>
      <c r="J6" s="287">
        <v>27</v>
      </c>
      <c r="K6" s="287">
        <v>0</v>
      </c>
      <c r="L6" s="287">
        <v>0</v>
      </c>
      <c r="M6" s="287">
        <v>0</v>
      </c>
      <c r="N6" s="287">
        <v>0</v>
      </c>
      <c r="O6" s="287">
        <v>8.2479999999999993</v>
      </c>
      <c r="P6" s="287">
        <v>5.8000000000000003E-2</v>
      </c>
      <c r="Q6" s="287">
        <v>35.305999999999997</v>
      </c>
      <c r="R6" s="287">
        <v>20.984000000000002</v>
      </c>
      <c r="S6" s="287">
        <v>0</v>
      </c>
      <c r="T6" s="287">
        <v>0</v>
      </c>
      <c r="U6" s="287">
        <v>0</v>
      </c>
      <c r="V6" s="287">
        <v>0</v>
      </c>
      <c r="W6" s="287">
        <v>56.29</v>
      </c>
      <c r="X6" s="287">
        <v>73.143000000000001</v>
      </c>
      <c r="Y6" s="286">
        <v>151154517.09560001</v>
      </c>
      <c r="Z6" s="285" t="s">
        <v>633</v>
      </c>
    </row>
    <row r="7" spans="1:26" x14ac:dyDescent="0.25">
      <c r="A7" s="288" t="s">
        <v>85</v>
      </c>
      <c r="B7" s="285" t="s">
        <v>77</v>
      </c>
      <c r="C7" s="285" t="s">
        <v>807</v>
      </c>
      <c r="D7" s="286">
        <v>515611976</v>
      </c>
      <c r="E7" s="286">
        <v>0</v>
      </c>
      <c r="F7" s="286">
        <v>515611976</v>
      </c>
      <c r="G7" s="286">
        <v>4234</v>
      </c>
      <c r="H7" s="287">
        <v>25.265000000000001</v>
      </c>
      <c r="I7" s="287">
        <v>0</v>
      </c>
      <c r="J7" s="287">
        <v>25.265000000000001</v>
      </c>
      <c r="K7" s="287">
        <v>0</v>
      </c>
      <c r="L7" s="287">
        <v>0</v>
      </c>
      <c r="M7" s="287">
        <v>0</v>
      </c>
      <c r="N7" s="287">
        <v>0</v>
      </c>
      <c r="O7" s="287">
        <v>0</v>
      </c>
      <c r="P7" s="287">
        <v>1.7999999999999999E-2</v>
      </c>
      <c r="Q7" s="287">
        <v>25.283000000000001</v>
      </c>
      <c r="R7" s="287">
        <v>0</v>
      </c>
      <c r="S7" s="287">
        <v>0</v>
      </c>
      <c r="T7" s="287">
        <v>0</v>
      </c>
      <c r="U7" s="287">
        <v>0</v>
      </c>
      <c r="V7" s="287">
        <v>0</v>
      </c>
      <c r="W7" s="287">
        <v>25.283000000000001</v>
      </c>
      <c r="X7" s="287">
        <v>26.891999999999999</v>
      </c>
      <c r="Y7" s="286">
        <v>856810.93527000095</v>
      </c>
      <c r="Z7" s="285" t="s">
        <v>633</v>
      </c>
    </row>
    <row r="8" spans="1:26" x14ac:dyDescent="0.25">
      <c r="A8" s="288" t="s">
        <v>87</v>
      </c>
      <c r="B8" s="285" t="s">
        <v>77</v>
      </c>
      <c r="C8" s="285" t="s">
        <v>806</v>
      </c>
      <c r="D8" s="286">
        <v>130358063</v>
      </c>
      <c r="E8" s="286">
        <v>0</v>
      </c>
      <c r="F8" s="286">
        <v>130358063</v>
      </c>
      <c r="G8" s="286">
        <v>17138</v>
      </c>
      <c r="H8" s="287">
        <v>27</v>
      </c>
      <c r="I8" s="287">
        <v>0</v>
      </c>
      <c r="J8" s="287">
        <v>27</v>
      </c>
      <c r="K8" s="287">
        <v>0</v>
      </c>
      <c r="L8" s="287">
        <v>0</v>
      </c>
      <c r="M8" s="287">
        <v>0</v>
      </c>
      <c r="N8" s="287">
        <v>0</v>
      </c>
      <c r="O8" s="287">
        <v>2.3010000000000002</v>
      </c>
      <c r="P8" s="287">
        <v>0.13100000000000001</v>
      </c>
      <c r="Q8" s="287">
        <v>29.431999999999999</v>
      </c>
      <c r="R8" s="287">
        <v>11.507</v>
      </c>
      <c r="S8" s="287">
        <v>0</v>
      </c>
      <c r="T8" s="287">
        <v>0</v>
      </c>
      <c r="U8" s="287">
        <v>0</v>
      </c>
      <c r="V8" s="287">
        <v>0</v>
      </c>
      <c r="W8" s="287">
        <v>40.939</v>
      </c>
      <c r="X8" s="287">
        <v>90.808999999999997</v>
      </c>
      <c r="Y8" s="286">
        <v>8763932.0892999992</v>
      </c>
      <c r="Z8" s="285" t="s">
        <v>633</v>
      </c>
    </row>
    <row r="9" spans="1:26" x14ac:dyDescent="0.25">
      <c r="A9" s="288" t="s">
        <v>89</v>
      </c>
      <c r="B9" s="285" t="s">
        <v>77</v>
      </c>
      <c r="C9" s="285" t="s">
        <v>805</v>
      </c>
      <c r="D9" s="286">
        <v>1113441980</v>
      </c>
      <c r="E9" s="286">
        <v>2425470</v>
      </c>
      <c r="F9" s="286">
        <v>1111016510</v>
      </c>
      <c r="G9" s="286">
        <v>56069</v>
      </c>
      <c r="H9" s="287">
        <v>27</v>
      </c>
      <c r="I9" s="287">
        <v>0</v>
      </c>
      <c r="J9" s="287">
        <v>27</v>
      </c>
      <c r="K9" s="287">
        <v>0</v>
      </c>
      <c r="L9" s="287">
        <v>0</v>
      </c>
      <c r="M9" s="287">
        <v>0.46700000000000003</v>
      </c>
      <c r="N9" s="287">
        <v>0</v>
      </c>
      <c r="O9" s="287">
        <v>24.437000000000001</v>
      </c>
      <c r="P9" s="287">
        <v>0.05</v>
      </c>
      <c r="Q9" s="287">
        <v>51.954000000000001</v>
      </c>
      <c r="R9" s="287">
        <v>7.4909999999999997</v>
      </c>
      <c r="S9" s="287">
        <v>0</v>
      </c>
      <c r="T9" s="287">
        <v>0</v>
      </c>
      <c r="U9" s="287">
        <v>0</v>
      </c>
      <c r="V9" s="287">
        <v>0</v>
      </c>
      <c r="W9" s="287">
        <v>59.445</v>
      </c>
      <c r="X9" s="287">
        <v>81.93</v>
      </c>
      <c r="Y9" s="286">
        <v>64391041.822800003</v>
      </c>
      <c r="Z9" s="285" t="s">
        <v>633</v>
      </c>
    </row>
    <row r="10" spans="1:26" x14ac:dyDescent="0.25">
      <c r="A10" s="288" t="s">
        <v>91</v>
      </c>
      <c r="B10" s="285" t="s">
        <v>92</v>
      </c>
      <c r="C10" s="285" t="s">
        <v>804</v>
      </c>
      <c r="D10" s="286">
        <v>163375028</v>
      </c>
      <c r="E10" s="286">
        <v>0</v>
      </c>
      <c r="F10" s="286">
        <v>163375028</v>
      </c>
      <c r="G10" s="286">
        <v>26664</v>
      </c>
      <c r="H10" s="287">
        <v>27</v>
      </c>
      <c r="I10" s="287">
        <v>0</v>
      </c>
      <c r="J10" s="287">
        <v>27</v>
      </c>
      <c r="K10" s="287">
        <v>0</v>
      </c>
      <c r="L10" s="287">
        <v>0</v>
      </c>
      <c r="M10" s="287">
        <v>0</v>
      </c>
      <c r="N10" s="287">
        <v>0</v>
      </c>
      <c r="O10" s="287">
        <v>0</v>
      </c>
      <c r="P10" s="287">
        <v>0.16300000000000001</v>
      </c>
      <c r="Q10" s="287">
        <v>27.163</v>
      </c>
      <c r="R10" s="287">
        <v>6.7329999999999997</v>
      </c>
      <c r="S10" s="287">
        <v>0</v>
      </c>
      <c r="T10" s="287">
        <v>0</v>
      </c>
      <c r="U10" s="287">
        <v>0</v>
      </c>
      <c r="V10" s="287">
        <v>0</v>
      </c>
      <c r="W10" s="287">
        <v>33.896000000000001</v>
      </c>
      <c r="X10" s="287">
        <v>126.002</v>
      </c>
      <c r="Y10" s="286">
        <v>17449799.1741</v>
      </c>
      <c r="Z10" s="285" t="s">
        <v>633</v>
      </c>
    </row>
    <row r="11" spans="1:26" x14ac:dyDescent="0.25">
      <c r="A11" s="288" t="s">
        <v>93</v>
      </c>
      <c r="B11" s="285" t="s">
        <v>92</v>
      </c>
      <c r="C11" s="285" t="s">
        <v>803</v>
      </c>
      <c r="D11" s="286">
        <v>46965547</v>
      </c>
      <c r="E11" s="286">
        <v>0</v>
      </c>
      <c r="F11" s="286">
        <v>46965547</v>
      </c>
      <c r="G11" s="286">
        <v>1943</v>
      </c>
      <c r="H11" s="287">
        <v>27</v>
      </c>
      <c r="I11" s="287">
        <v>0</v>
      </c>
      <c r="J11" s="287">
        <v>27</v>
      </c>
      <c r="K11" s="287">
        <v>0</v>
      </c>
      <c r="L11" s="287">
        <v>0</v>
      </c>
      <c r="M11" s="287">
        <v>0</v>
      </c>
      <c r="N11" s="287">
        <v>0</v>
      </c>
      <c r="O11" s="287">
        <v>0</v>
      </c>
      <c r="P11" s="287">
        <v>4.1000000000000002E-2</v>
      </c>
      <c r="Q11" s="287">
        <v>27.041</v>
      </c>
      <c r="R11" s="287">
        <v>6.59</v>
      </c>
      <c r="S11" s="287">
        <v>0</v>
      </c>
      <c r="T11" s="287">
        <v>0</v>
      </c>
      <c r="U11" s="287">
        <v>0</v>
      </c>
      <c r="V11" s="287">
        <v>0</v>
      </c>
      <c r="W11" s="287">
        <v>33.631</v>
      </c>
      <c r="X11" s="287">
        <v>77.784000000000006</v>
      </c>
      <c r="Y11" s="286">
        <v>2453913.1628999999</v>
      </c>
      <c r="Z11" s="285" t="s">
        <v>633</v>
      </c>
    </row>
    <row r="12" spans="1:26" x14ac:dyDescent="0.25">
      <c r="A12" s="288" t="s">
        <v>95</v>
      </c>
      <c r="B12" s="285" t="s">
        <v>96</v>
      </c>
      <c r="C12" s="285" t="s">
        <v>802</v>
      </c>
      <c r="D12" s="286">
        <v>886087974</v>
      </c>
      <c r="E12" s="286">
        <v>55958206</v>
      </c>
      <c r="F12" s="286">
        <v>830129768</v>
      </c>
      <c r="G12" s="286">
        <v>146463</v>
      </c>
      <c r="H12" s="287">
        <v>27</v>
      </c>
      <c r="I12" s="287">
        <v>2.105</v>
      </c>
      <c r="J12" s="287">
        <v>24.895</v>
      </c>
      <c r="K12" s="287">
        <v>0</v>
      </c>
      <c r="L12" s="287">
        <v>0</v>
      </c>
      <c r="M12" s="287">
        <v>0</v>
      </c>
      <c r="N12" s="287">
        <v>0</v>
      </c>
      <c r="O12" s="287">
        <v>7.415527</v>
      </c>
      <c r="P12" s="287">
        <v>0.17643400000000001</v>
      </c>
      <c r="Q12" s="287">
        <v>32.486961000000001</v>
      </c>
      <c r="R12" s="287">
        <v>11.769479</v>
      </c>
      <c r="S12" s="287">
        <v>0</v>
      </c>
      <c r="T12" s="287">
        <v>0</v>
      </c>
      <c r="U12" s="287">
        <v>4.818524</v>
      </c>
      <c r="V12" s="287">
        <v>0</v>
      </c>
      <c r="W12" s="287">
        <v>49.074964000000001</v>
      </c>
      <c r="X12" s="287">
        <v>27.728999999999999</v>
      </c>
      <c r="Y12" s="286">
        <v>2479112.6974999998</v>
      </c>
      <c r="Z12" s="285" t="s">
        <v>633</v>
      </c>
    </row>
    <row r="13" spans="1:26" x14ac:dyDescent="0.25">
      <c r="A13" s="288" t="s">
        <v>98</v>
      </c>
      <c r="B13" s="285" t="s">
        <v>96</v>
      </c>
      <c r="C13" s="285" t="s">
        <v>801</v>
      </c>
      <c r="D13" s="286">
        <v>371965819</v>
      </c>
      <c r="E13" s="286">
        <v>41392279</v>
      </c>
      <c r="F13" s="286">
        <v>330573540</v>
      </c>
      <c r="G13" s="286">
        <v>124740</v>
      </c>
      <c r="H13" s="287">
        <v>27</v>
      </c>
      <c r="I13" s="287">
        <v>3.0529999999999999</v>
      </c>
      <c r="J13" s="287">
        <v>23.946999999999999</v>
      </c>
      <c r="K13" s="287">
        <v>0</v>
      </c>
      <c r="L13" s="287">
        <v>0</v>
      </c>
      <c r="M13" s="287">
        <v>0</v>
      </c>
      <c r="N13" s="287">
        <v>0</v>
      </c>
      <c r="O13" s="287">
        <v>11.561999999999999</v>
      </c>
      <c r="P13" s="287">
        <v>0.377</v>
      </c>
      <c r="Q13" s="287">
        <v>35.886000000000003</v>
      </c>
      <c r="R13" s="287">
        <v>4.3860000000000001</v>
      </c>
      <c r="S13" s="287">
        <v>0</v>
      </c>
      <c r="T13" s="287">
        <v>0</v>
      </c>
      <c r="U13" s="287">
        <v>0</v>
      </c>
      <c r="V13" s="287">
        <v>0</v>
      </c>
      <c r="W13" s="287">
        <v>40.271999999999998</v>
      </c>
      <c r="X13" s="287">
        <v>38.283000000000001</v>
      </c>
      <c r="Y13" s="286">
        <v>5017649.8969860002</v>
      </c>
      <c r="Z13" s="285" t="s">
        <v>633</v>
      </c>
    </row>
    <row r="14" spans="1:26" x14ac:dyDescent="0.25">
      <c r="A14" s="288" t="s">
        <v>100</v>
      </c>
      <c r="B14" s="285" t="s">
        <v>96</v>
      </c>
      <c r="C14" s="285" t="s">
        <v>800</v>
      </c>
      <c r="D14" s="286">
        <v>8942553374</v>
      </c>
      <c r="E14" s="286">
        <v>65190805</v>
      </c>
      <c r="F14" s="286">
        <v>8877362569</v>
      </c>
      <c r="G14" s="286">
        <v>2604346</v>
      </c>
      <c r="H14" s="287">
        <v>18.756</v>
      </c>
      <c r="I14" s="287">
        <v>0</v>
      </c>
      <c r="J14" s="287">
        <v>18.756</v>
      </c>
      <c r="K14" s="287">
        <v>0</v>
      </c>
      <c r="L14" s="287">
        <v>0</v>
      </c>
      <c r="M14" s="287">
        <v>0.72699999999999998</v>
      </c>
      <c r="N14" s="287">
        <v>4.4999999999999998E-2</v>
      </c>
      <c r="O14" s="287">
        <v>15.178000000000001</v>
      </c>
      <c r="P14" s="287">
        <v>0.29299999999999998</v>
      </c>
      <c r="Q14" s="287">
        <v>34.999000000000002</v>
      </c>
      <c r="R14" s="287">
        <v>7.7759999999999998</v>
      </c>
      <c r="S14" s="287">
        <v>0</v>
      </c>
      <c r="T14" s="287">
        <v>0</v>
      </c>
      <c r="U14" s="287">
        <v>4.7919999999999998</v>
      </c>
      <c r="V14" s="287">
        <v>0</v>
      </c>
      <c r="W14" s="287">
        <v>47.567</v>
      </c>
      <c r="X14" s="287">
        <v>58.149000000000001</v>
      </c>
      <c r="Y14" s="286">
        <v>368670038.26174402</v>
      </c>
      <c r="Z14" s="285" t="s">
        <v>633</v>
      </c>
    </row>
    <row r="15" spans="1:26" x14ac:dyDescent="0.25">
      <c r="A15" s="288" t="s">
        <v>102</v>
      </c>
      <c r="B15" s="285" t="s">
        <v>96</v>
      </c>
      <c r="C15" s="285" t="s">
        <v>799</v>
      </c>
      <c r="D15" s="286">
        <v>2504517266</v>
      </c>
      <c r="E15" s="286">
        <v>33512504</v>
      </c>
      <c r="F15" s="286">
        <v>2471004762</v>
      </c>
      <c r="G15" s="286">
        <v>836152</v>
      </c>
      <c r="H15" s="287">
        <v>27</v>
      </c>
      <c r="I15" s="287">
        <v>0</v>
      </c>
      <c r="J15" s="287">
        <v>27</v>
      </c>
      <c r="K15" s="287">
        <v>0</v>
      </c>
      <c r="L15" s="287">
        <v>0</v>
      </c>
      <c r="M15" s="287">
        <v>0.93700000000000006</v>
      </c>
      <c r="N15" s="287">
        <v>0</v>
      </c>
      <c r="O15" s="287">
        <v>10.724</v>
      </c>
      <c r="P15" s="287">
        <v>0.33800000000000002</v>
      </c>
      <c r="Q15" s="287">
        <v>38.999000000000002</v>
      </c>
      <c r="R15" s="287">
        <v>14.848000000000001</v>
      </c>
      <c r="S15" s="287">
        <v>0</v>
      </c>
      <c r="T15" s="287">
        <v>9</v>
      </c>
      <c r="U15" s="287">
        <v>0</v>
      </c>
      <c r="V15" s="287">
        <v>0</v>
      </c>
      <c r="W15" s="287">
        <v>62.847000000000001</v>
      </c>
      <c r="X15" s="287">
        <v>51.186</v>
      </c>
      <c r="Y15" s="286">
        <v>63564468.178900003</v>
      </c>
      <c r="Z15" s="285" t="s">
        <v>633</v>
      </c>
    </row>
    <row r="16" spans="1:26" x14ac:dyDescent="0.25">
      <c r="A16" s="288" t="s">
        <v>104</v>
      </c>
      <c r="B16" s="285" t="s">
        <v>96</v>
      </c>
      <c r="C16" s="285" t="s">
        <v>798</v>
      </c>
      <c r="D16" s="286">
        <v>51934834</v>
      </c>
      <c r="E16" s="286">
        <v>0</v>
      </c>
      <c r="F16" s="286">
        <v>51934834</v>
      </c>
      <c r="G16" s="286">
        <v>6239</v>
      </c>
      <c r="H16" s="287">
        <v>27</v>
      </c>
      <c r="I16" s="287">
        <v>0</v>
      </c>
      <c r="J16" s="287">
        <v>27</v>
      </c>
      <c r="K16" s="287">
        <v>0</v>
      </c>
      <c r="L16" s="287">
        <v>0</v>
      </c>
      <c r="M16" s="287">
        <v>0.125</v>
      </c>
      <c r="N16" s="287">
        <v>0</v>
      </c>
      <c r="O16" s="287">
        <v>0</v>
      </c>
      <c r="P16" s="287">
        <v>0.12</v>
      </c>
      <c r="Q16" s="287">
        <v>27.245000000000001</v>
      </c>
      <c r="R16" s="287">
        <v>10.238</v>
      </c>
      <c r="S16" s="287">
        <v>0</v>
      </c>
      <c r="T16" s="287">
        <v>0</v>
      </c>
      <c r="U16" s="287">
        <v>0</v>
      </c>
      <c r="V16" s="287">
        <v>0</v>
      </c>
      <c r="W16" s="287">
        <v>37.482999999999997</v>
      </c>
      <c r="X16" s="287">
        <v>79.424000000000007</v>
      </c>
      <c r="Y16" s="286">
        <v>3013381.6686999998</v>
      </c>
      <c r="Z16" s="285" t="s">
        <v>633</v>
      </c>
    </row>
    <row r="17" spans="1:26" x14ac:dyDescent="0.25">
      <c r="A17" s="288" t="s">
        <v>106</v>
      </c>
      <c r="B17" s="285" t="s">
        <v>96</v>
      </c>
      <c r="C17" s="285" t="s">
        <v>797</v>
      </c>
      <c r="D17" s="286">
        <v>5450700306</v>
      </c>
      <c r="E17" s="286">
        <v>141360140</v>
      </c>
      <c r="F17" s="286">
        <v>5309340166</v>
      </c>
      <c r="G17" s="286">
        <v>1686636.33</v>
      </c>
      <c r="H17" s="287">
        <v>27</v>
      </c>
      <c r="I17" s="287">
        <v>0</v>
      </c>
      <c r="J17" s="287">
        <v>27</v>
      </c>
      <c r="K17" s="287">
        <v>0</v>
      </c>
      <c r="L17" s="287">
        <v>0</v>
      </c>
      <c r="M17" s="287">
        <v>0</v>
      </c>
      <c r="N17" s="287">
        <v>0</v>
      </c>
      <c r="O17" s="287">
        <v>22.113</v>
      </c>
      <c r="P17" s="287">
        <v>0.318</v>
      </c>
      <c r="Q17" s="287">
        <v>49.430999999999997</v>
      </c>
      <c r="R17" s="287">
        <v>21.9</v>
      </c>
      <c r="S17" s="287">
        <v>0</v>
      </c>
      <c r="T17" s="287">
        <v>0</v>
      </c>
      <c r="U17" s="287">
        <v>0</v>
      </c>
      <c r="V17" s="287">
        <v>0</v>
      </c>
      <c r="W17" s="287">
        <v>71.331000000000003</v>
      </c>
      <c r="X17" s="287">
        <v>76.611000000000004</v>
      </c>
      <c r="Y17" s="286">
        <v>279475904.2277</v>
      </c>
      <c r="Z17" s="285" t="s">
        <v>633</v>
      </c>
    </row>
    <row r="18" spans="1:26" x14ac:dyDescent="0.25">
      <c r="A18" s="288" t="s">
        <v>108</v>
      </c>
      <c r="B18" s="285" t="s">
        <v>96</v>
      </c>
      <c r="C18" s="285" t="s">
        <v>796</v>
      </c>
      <c r="D18" s="286">
        <v>68763148</v>
      </c>
      <c r="E18" s="286">
        <v>0</v>
      </c>
      <c r="F18" s="286">
        <v>68763148</v>
      </c>
      <c r="G18" s="286">
        <v>413</v>
      </c>
      <c r="H18" s="287">
        <v>27</v>
      </c>
      <c r="I18" s="287">
        <v>9.0999999999999998E-2</v>
      </c>
      <c r="J18" s="287">
        <v>26.908999999999999</v>
      </c>
      <c r="K18" s="287">
        <v>0</v>
      </c>
      <c r="L18" s="287">
        <v>0</v>
      </c>
      <c r="M18" s="287">
        <v>0</v>
      </c>
      <c r="N18" s="287">
        <v>0</v>
      </c>
      <c r="O18" s="287">
        <v>3.4950000000000001</v>
      </c>
      <c r="P18" s="287">
        <v>6.0000000000000001E-3</v>
      </c>
      <c r="Q18" s="287">
        <v>30.41</v>
      </c>
      <c r="R18" s="287">
        <v>0</v>
      </c>
      <c r="S18" s="287">
        <v>0</v>
      </c>
      <c r="T18" s="287">
        <v>0</v>
      </c>
      <c r="U18" s="287">
        <v>0</v>
      </c>
      <c r="V18" s="287">
        <v>0</v>
      </c>
      <c r="W18" s="287">
        <v>30.41</v>
      </c>
      <c r="X18" s="287">
        <v>741.23400000000004</v>
      </c>
      <c r="Y18" s="286">
        <v>52818494.861354999</v>
      </c>
      <c r="Z18" s="285" t="s">
        <v>633</v>
      </c>
    </row>
    <row r="19" spans="1:26" x14ac:dyDescent="0.25">
      <c r="A19" s="288" t="s">
        <v>110</v>
      </c>
      <c r="B19" s="285" t="s">
        <v>111</v>
      </c>
      <c r="C19" s="285" t="s">
        <v>795</v>
      </c>
      <c r="D19" s="286">
        <v>564498330</v>
      </c>
      <c r="E19" s="286">
        <v>0</v>
      </c>
      <c r="F19" s="286">
        <v>564498330</v>
      </c>
      <c r="G19" s="286">
        <v>33486.65</v>
      </c>
      <c r="H19" s="287">
        <v>27</v>
      </c>
      <c r="I19" s="287">
        <v>2.9860000000000002</v>
      </c>
      <c r="J19" s="287">
        <v>24.013999999999999</v>
      </c>
      <c r="K19" s="287">
        <v>0</v>
      </c>
      <c r="L19" s="287">
        <v>0</v>
      </c>
      <c r="M19" s="287">
        <v>0</v>
      </c>
      <c r="N19" s="287">
        <v>0</v>
      </c>
      <c r="O19" s="287">
        <v>3.012</v>
      </c>
      <c r="P19" s="287">
        <v>5.8999999999999997E-2</v>
      </c>
      <c r="Q19" s="287">
        <v>27.085000000000001</v>
      </c>
      <c r="R19" s="287">
        <v>0</v>
      </c>
      <c r="S19" s="287">
        <v>0</v>
      </c>
      <c r="T19" s="287">
        <v>0</v>
      </c>
      <c r="U19" s="287">
        <v>0</v>
      </c>
      <c r="V19" s="287">
        <v>0</v>
      </c>
      <c r="W19" s="287">
        <v>27.085000000000001</v>
      </c>
      <c r="X19" s="287">
        <v>28.763000000000002</v>
      </c>
      <c r="Y19" s="286">
        <v>2821187.6556000002</v>
      </c>
      <c r="Z19" s="285" t="s">
        <v>633</v>
      </c>
    </row>
    <row r="20" spans="1:26" x14ac:dyDescent="0.25">
      <c r="A20" s="288" t="s">
        <v>112</v>
      </c>
      <c r="B20" s="285" t="s">
        <v>113</v>
      </c>
      <c r="C20" s="285" t="s">
        <v>794</v>
      </c>
      <c r="D20" s="286">
        <v>26345104</v>
      </c>
      <c r="E20" s="286">
        <v>0</v>
      </c>
      <c r="F20" s="286">
        <v>26345104</v>
      </c>
      <c r="G20" s="286">
        <v>9352</v>
      </c>
      <c r="H20" s="287">
        <v>27</v>
      </c>
      <c r="I20" s="287">
        <v>4.6989999999999998</v>
      </c>
      <c r="J20" s="287">
        <v>22.300999999999998</v>
      </c>
      <c r="K20" s="287">
        <v>0</v>
      </c>
      <c r="L20" s="287">
        <v>0</v>
      </c>
      <c r="M20" s="287">
        <v>0</v>
      </c>
      <c r="N20" s="287">
        <v>0</v>
      </c>
      <c r="O20" s="287">
        <v>6.7889999999999997</v>
      </c>
      <c r="P20" s="287">
        <v>0.35499999999999998</v>
      </c>
      <c r="Q20" s="287">
        <v>29.445</v>
      </c>
      <c r="R20" s="287">
        <v>13.664999999999999</v>
      </c>
      <c r="S20" s="287">
        <v>0</v>
      </c>
      <c r="T20" s="287">
        <v>0</v>
      </c>
      <c r="U20" s="287">
        <v>0</v>
      </c>
      <c r="V20" s="287">
        <v>0</v>
      </c>
      <c r="W20" s="287">
        <v>43.11</v>
      </c>
      <c r="X20" s="287">
        <v>107.938</v>
      </c>
      <c r="Y20" s="286">
        <v>2296384.7331690001</v>
      </c>
      <c r="Z20" s="285" t="s">
        <v>633</v>
      </c>
    </row>
    <row r="21" spans="1:26" x14ac:dyDescent="0.25">
      <c r="A21" s="288" t="s">
        <v>115</v>
      </c>
      <c r="B21" s="285" t="s">
        <v>113</v>
      </c>
      <c r="C21" s="285" t="s">
        <v>793</v>
      </c>
      <c r="D21" s="286">
        <v>30179498</v>
      </c>
      <c r="E21" s="286">
        <v>0</v>
      </c>
      <c r="F21" s="286">
        <v>30179498</v>
      </c>
      <c r="G21" s="286">
        <v>987</v>
      </c>
      <c r="H21" s="287">
        <v>26.992000000000001</v>
      </c>
      <c r="I21" s="287">
        <v>5.1909999999999998</v>
      </c>
      <c r="J21" s="287">
        <v>21.800999999999998</v>
      </c>
      <c r="K21" s="287">
        <v>0</v>
      </c>
      <c r="L21" s="287">
        <v>0</v>
      </c>
      <c r="M21" s="287">
        <v>0</v>
      </c>
      <c r="N21" s="287">
        <v>0</v>
      </c>
      <c r="O21" s="287">
        <v>0</v>
      </c>
      <c r="P21" s="287">
        <v>3.3000000000000002E-2</v>
      </c>
      <c r="Q21" s="287">
        <v>21.834</v>
      </c>
      <c r="R21" s="287">
        <v>0</v>
      </c>
      <c r="S21" s="287">
        <v>0</v>
      </c>
      <c r="T21" s="287">
        <v>0</v>
      </c>
      <c r="U21" s="287">
        <v>0</v>
      </c>
      <c r="V21" s="287">
        <v>0</v>
      </c>
      <c r="W21" s="287">
        <v>21.834</v>
      </c>
      <c r="X21" s="287">
        <v>36.712000000000003</v>
      </c>
      <c r="Y21" s="286">
        <v>451252.10772099998</v>
      </c>
      <c r="Z21" s="285" t="s">
        <v>633</v>
      </c>
    </row>
    <row r="22" spans="1:26" x14ac:dyDescent="0.25">
      <c r="A22" s="288" t="s">
        <v>117</v>
      </c>
      <c r="B22" s="285" t="s">
        <v>113</v>
      </c>
      <c r="C22" s="285" t="s">
        <v>792</v>
      </c>
      <c r="D22" s="286">
        <v>33085059</v>
      </c>
      <c r="E22" s="286">
        <v>0</v>
      </c>
      <c r="F22" s="286">
        <v>33085059</v>
      </c>
      <c r="G22" s="286">
        <v>0</v>
      </c>
      <c r="H22" s="287">
        <v>27</v>
      </c>
      <c r="I22" s="287">
        <v>0</v>
      </c>
      <c r="J22" s="287">
        <v>27</v>
      </c>
      <c r="K22" s="287">
        <v>0</v>
      </c>
      <c r="L22" s="287">
        <v>0</v>
      </c>
      <c r="M22" s="287">
        <v>0</v>
      </c>
      <c r="N22" s="287">
        <v>0</v>
      </c>
      <c r="O22" s="287">
        <v>0</v>
      </c>
      <c r="P22" s="287">
        <v>0</v>
      </c>
      <c r="Q22" s="287">
        <v>27</v>
      </c>
      <c r="R22" s="287">
        <v>11.445</v>
      </c>
      <c r="S22" s="287">
        <v>0</v>
      </c>
      <c r="T22" s="287">
        <v>0</v>
      </c>
      <c r="U22" s="287">
        <v>0</v>
      </c>
      <c r="V22" s="287">
        <v>0</v>
      </c>
      <c r="W22" s="287">
        <v>38.445</v>
      </c>
      <c r="X22" s="287">
        <v>110.672</v>
      </c>
      <c r="Y22" s="286">
        <v>2880384.7423999999</v>
      </c>
      <c r="Z22" s="285" t="s">
        <v>633</v>
      </c>
    </row>
    <row r="23" spans="1:26" x14ac:dyDescent="0.25">
      <c r="A23" s="288" t="s">
        <v>119</v>
      </c>
      <c r="B23" s="285" t="s">
        <v>113</v>
      </c>
      <c r="C23" s="285" t="s">
        <v>791</v>
      </c>
      <c r="D23" s="286">
        <v>6603495</v>
      </c>
      <c r="E23" s="286">
        <v>0</v>
      </c>
      <c r="F23" s="286">
        <v>6603495</v>
      </c>
      <c r="G23" s="286">
        <v>2</v>
      </c>
      <c r="H23" s="287">
        <v>27</v>
      </c>
      <c r="I23" s="287">
        <v>0</v>
      </c>
      <c r="J23" s="287">
        <v>27</v>
      </c>
      <c r="K23" s="287">
        <v>0</v>
      </c>
      <c r="L23" s="287">
        <v>0</v>
      </c>
      <c r="M23" s="287">
        <v>0</v>
      </c>
      <c r="N23" s="287">
        <v>0</v>
      </c>
      <c r="O23" s="287">
        <v>0</v>
      </c>
      <c r="P23" s="287">
        <v>0</v>
      </c>
      <c r="Q23" s="287">
        <v>27</v>
      </c>
      <c r="R23" s="287">
        <v>0</v>
      </c>
      <c r="S23" s="287">
        <v>0</v>
      </c>
      <c r="T23" s="287">
        <v>0</v>
      </c>
      <c r="U23" s="287">
        <v>0</v>
      </c>
      <c r="V23" s="287">
        <v>0</v>
      </c>
      <c r="W23" s="287">
        <v>27</v>
      </c>
      <c r="X23" s="287">
        <v>373.803</v>
      </c>
      <c r="Y23" s="286">
        <v>2317122.9249</v>
      </c>
      <c r="Z23" s="285" t="s">
        <v>633</v>
      </c>
    </row>
    <row r="24" spans="1:26" x14ac:dyDescent="0.25">
      <c r="A24" s="288" t="s">
        <v>121</v>
      </c>
      <c r="B24" s="285" t="s">
        <v>113</v>
      </c>
      <c r="C24" s="285" t="s">
        <v>790</v>
      </c>
      <c r="D24" s="286">
        <v>18194492</v>
      </c>
      <c r="E24" s="286">
        <v>0</v>
      </c>
      <c r="F24" s="286">
        <v>18194492</v>
      </c>
      <c r="G24" s="286">
        <v>426</v>
      </c>
      <c r="H24" s="287">
        <v>18.3</v>
      </c>
      <c r="I24" s="287">
        <v>4.5439999999999996</v>
      </c>
      <c r="J24" s="287">
        <v>13.756</v>
      </c>
      <c r="K24" s="287">
        <v>0</v>
      </c>
      <c r="L24" s="287">
        <v>0</v>
      </c>
      <c r="M24" s="287">
        <v>0.255</v>
      </c>
      <c r="N24" s="287">
        <v>0</v>
      </c>
      <c r="O24" s="287">
        <v>8.2439999999999998</v>
      </c>
      <c r="P24" s="287">
        <v>2.3E-2</v>
      </c>
      <c r="Q24" s="287">
        <v>22.277999999999999</v>
      </c>
      <c r="R24" s="287">
        <v>0</v>
      </c>
      <c r="S24" s="287">
        <v>0</v>
      </c>
      <c r="T24" s="287">
        <v>0</v>
      </c>
      <c r="U24" s="287">
        <v>0</v>
      </c>
      <c r="V24" s="287">
        <v>0</v>
      </c>
      <c r="W24" s="287">
        <v>22.277999999999999</v>
      </c>
      <c r="X24" s="287">
        <v>56.634999999999998</v>
      </c>
      <c r="Y24" s="286">
        <v>782177.042304</v>
      </c>
      <c r="Z24" s="285" t="s">
        <v>633</v>
      </c>
    </row>
    <row r="25" spans="1:26" x14ac:dyDescent="0.25">
      <c r="A25" s="288" t="s">
        <v>123</v>
      </c>
      <c r="B25" s="285" t="s">
        <v>124</v>
      </c>
      <c r="C25" s="285" t="s">
        <v>789</v>
      </c>
      <c r="D25" s="286">
        <v>71889110</v>
      </c>
      <c r="E25" s="286">
        <v>0</v>
      </c>
      <c r="F25" s="286">
        <v>71889110</v>
      </c>
      <c r="G25" s="286">
        <v>4173.2</v>
      </c>
      <c r="H25" s="287">
        <v>27</v>
      </c>
      <c r="I25" s="287">
        <v>4.5019999999999998</v>
      </c>
      <c r="J25" s="287">
        <v>22.498000000000001</v>
      </c>
      <c r="K25" s="287">
        <v>0</v>
      </c>
      <c r="L25" s="287">
        <v>0</v>
      </c>
      <c r="M25" s="287">
        <v>0</v>
      </c>
      <c r="N25" s="287">
        <v>0</v>
      </c>
      <c r="O25" s="287">
        <v>0</v>
      </c>
      <c r="P25" s="287">
        <v>0</v>
      </c>
      <c r="Q25" s="287">
        <v>22.498000000000001</v>
      </c>
      <c r="R25" s="287">
        <v>0</v>
      </c>
      <c r="S25" s="287">
        <v>0</v>
      </c>
      <c r="T25" s="287">
        <v>0</v>
      </c>
      <c r="U25" s="287">
        <v>0</v>
      </c>
      <c r="V25" s="287">
        <v>0</v>
      </c>
      <c r="W25" s="287">
        <v>22.498000000000001</v>
      </c>
      <c r="X25" s="287">
        <v>112.17100000000001</v>
      </c>
      <c r="Y25" s="286">
        <v>6709935.50086</v>
      </c>
      <c r="Z25" s="285" t="s">
        <v>633</v>
      </c>
    </row>
    <row r="26" spans="1:26" x14ac:dyDescent="0.25">
      <c r="A26" s="288" t="s">
        <v>126</v>
      </c>
      <c r="B26" s="285" t="s">
        <v>124</v>
      </c>
      <c r="C26" s="285" t="s">
        <v>788</v>
      </c>
      <c r="D26" s="286">
        <v>26537330</v>
      </c>
      <c r="E26" s="286">
        <v>0</v>
      </c>
      <c r="F26" s="286">
        <v>26537330</v>
      </c>
      <c r="G26" s="286">
        <v>1990</v>
      </c>
      <c r="H26" s="287">
        <v>23.59</v>
      </c>
      <c r="I26" s="287">
        <v>1.675</v>
      </c>
      <c r="J26" s="287">
        <v>21.914999999999999</v>
      </c>
      <c r="K26" s="287">
        <v>0</v>
      </c>
      <c r="L26" s="287">
        <v>0</v>
      </c>
      <c r="M26" s="287">
        <v>4.74</v>
      </c>
      <c r="N26" s="287">
        <v>0</v>
      </c>
      <c r="O26" s="287">
        <v>0</v>
      </c>
      <c r="P26" s="287">
        <v>7.4999999999999997E-2</v>
      </c>
      <c r="Q26" s="287">
        <v>26.73</v>
      </c>
      <c r="R26" s="287">
        <v>0</v>
      </c>
      <c r="S26" s="287">
        <v>0</v>
      </c>
      <c r="T26" s="287">
        <v>0</v>
      </c>
      <c r="U26" s="287">
        <v>0</v>
      </c>
      <c r="V26" s="287">
        <v>0</v>
      </c>
      <c r="W26" s="287">
        <v>26.73</v>
      </c>
      <c r="X26" s="287">
        <v>125.68899999999999</v>
      </c>
      <c r="Y26" s="286">
        <v>2813428.1371499998</v>
      </c>
      <c r="Z26" s="285" t="s">
        <v>633</v>
      </c>
    </row>
    <row r="27" spans="1:26" x14ac:dyDescent="0.25">
      <c r="A27" s="288" t="s">
        <v>128</v>
      </c>
      <c r="B27" s="285" t="s">
        <v>129</v>
      </c>
      <c r="C27" s="285" t="s">
        <v>787</v>
      </c>
      <c r="D27" s="286">
        <v>6593531745</v>
      </c>
      <c r="E27" s="286">
        <v>494903204</v>
      </c>
      <c r="F27" s="286">
        <v>6098628541</v>
      </c>
      <c r="G27" s="286">
        <v>1661305.2</v>
      </c>
      <c r="H27" s="287">
        <v>27</v>
      </c>
      <c r="I27" s="287">
        <v>0</v>
      </c>
      <c r="J27" s="287">
        <v>27</v>
      </c>
      <c r="K27" s="287">
        <v>0</v>
      </c>
      <c r="L27" s="287">
        <v>0</v>
      </c>
      <c r="M27" s="287">
        <v>0</v>
      </c>
      <c r="N27" s="287">
        <v>0</v>
      </c>
      <c r="O27" s="287">
        <v>13.238</v>
      </c>
      <c r="P27" s="287">
        <v>0.27200000000000002</v>
      </c>
      <c r="Q27" s="287">
        <v>40.51</v>
      </c>
      <c r="R27" s="287">
        <v>16.728000000000002</v>
      </c>
      <c r="S27" s="287">
        <v>0</v>
      </c>
      <c r="T27" s="287">
        <v>0</v>
      </c>
      <c r="U27" s="287">
        <v>0</v>
      </c>
      <c r="V27" s="287">
        <v>0</v>
      </c>
      <c r="W27" s="287">
        <v>57.238</v>
      </c>
      <c r="X27" s="287">
        <v>50.197000000000003</v>
      </c>
      <c r="Y27" s="286">
        <v>149118577.37029999</v>
      </c>
      <c r="Z27" s="285" t="s">
        <v>633</v>
      </c>
    </row>
    <row r="28" spans="1:26" x14ac:dyDescent="0.25">
      <c r="A28" s="288" t="s">
        <v>131</v>
      </c>
      <c r="B28" s="285" t="s">
        <v>129</v>
      </c>
      <c r="C28" s="285" t="s">
        <v>786</v>
      </c>
      <c r="D28" s="286">
        <v>9685676989</v>
      </c>
      <c r="E28" s="286">
        <v>148175006</v>
      </c>
      <c r="F28" s="286">
        <v>9537501983</v>
      </c>
      <c r="G28" s="286">
        <v>1388766</v>
      </c>
      <c r="H28" s="287">
        <v>27</v>
      </c>
      <c r="I28" s="287">
        <v>0</v>
      </c>
      <c r="J28" s="287">
        <v>27</v>
      </c>
      <c r="K28" s="287">
        <v>0</v>
      </c>
      <c r="L28" s="287">
        <v>0</v>
      </c>
      <c r="M28" s="287">
        <v>0</v>
      </c>
      <c r="N28" s="287">
        <v>0</v>
      </c>
      <c r="O28" s="287">
        <v>8.4019999999999992</v>
      </c>
      <c r="P28" s="287">
        <v>0.14599999999999999</v>
      </c>
      <c r="Q28" s="287">
        <v>35.548000000000002</v>
      </c>
      <c r="R28" s="287">
        <v>7.7110000000000003</v>
      </c>
      <c r="S28" s="287">
        <v>0.76500000000000001</v>
      </c>
      <c r="T28" s="287">
        <v>0</v>
      </c>
      <c r="U28" s="287">
        <v>4</v>
      </c>
      <c r="V28" s="287">
        <v>0</v>
      </c>
      <c r="W28" s="287">
        <v>48.024000000000001</v>
      </c>
      <c r="X28" s="287">
        <v>28.071999999999999</v>
      </c>
      <c r="Y28" s="286">
        <v>10905458.9789</v>
      </c>
      <c r="Z28" s="285" t="s">
        <v>633</v>
      </c>
    </row>
    <row r="29" spans="1:26" x14ac:dyDescent="0.25">
      <c r="A29" s="288" t="s">
        <v>132</v>
      </c>
      <c r="B29" s="285" t="s">
        <v>133</v>
      </c>
      <c r="C29" s="285" t="s">
        <v>785</v>
      </c>
      <c r="D29" s="286">
        <v>408288230</v>
      </c>
      <c r="E29" s="286">
        <v>0</v>
      </c>
      <c r="F29" s="286">
        <v>408288230</v>
      </c>
      <c r="G29" s="286">
        <v>3623.27</v>
      </c>
      <c r="H29" s="287">
        <v>23.149000000000001</v>
      </c>
      <c r="I29" s="287">
        <v>4.1669999999999998</v>
      </c>
      <c r="J29" s="287">
        <v>18.981999999999999</v>
      </c>
      <c r="K29" s="287">
        <v>0</v>
      </c>
      <c r="L29" s="287">
        <v>0</v>
      </c>
      <c r="M29" s="287">
        <v>0</v>
      </c>
      <c r="N29" s="287">
        <v>0</v>
      </c>
      <c r="O29" s="287">
        <v>6.59</v>
      </c>
      <c r="P29" s="287">
        <v>0</v>
      </c>
      <c r="Q29" s="287">
        <v>25.571999999999999</v>
      </c>
      <c r="R29" s="287">
        <v>6.0279999999999996</v>
      </c>
      <c r="S29" s="287">
        <v>0</v>
      </c>
      <c r="T29" s="287">
        <v>0</v>
      </c>
      <c r="U29" s="287">
        <v>0</v>
      </c>
      <c r="V29" s="287">
        <v>0</v>
      </c>
      <c r="W29" s="287">
        <v>31.6</v>
      </c>
      <c r="X29" s="287">
        <v>22.533999999999999</v>
      </c>
      <c r="Y29" s="286">
        <v>1510630.7526</v>
      </c>
      <c r="Z29" s="285" t="s">
        <v>633</v>
      </c>
    </row>
    <row r="30" spans="1:26" x14ac:dyDescent="0.25">
      <c r="A30" s="288" t="s">
        <v>135</v>
      </c>
      <c r="B30" s="285" t="s">
        <v>133</v>
      </c>
      <c r="C30" s="285" t="s">
        <v>784</v>
      </c>
      <c r="D30" s="286">
        <v>461108613</v>
      </c>
      <c r="E30" s="286">
        <v>0</v>
      </c>
      <c r="F30" s="286">
        <v>461108613</v>
      </c>
      <c r="G30" s="286">
        <v>9917</v>
      </c>
      <c r="H30" s="287">
        <v>21.951000000000001</v>
      </c>
      <c r="I30" s="287">
        <v>7.1</v>
      </c>
      <c r="J30" s="287">
        <v>17.693000000000001</v>
      </c>
      <c r="K30" s="287">
        <v>0</v>
      </c>
      <c r="L30" s="287">
        <v>0</v>
      </c>
      <c r="M30" s="287">
        <v>0</v>
      </c>
      <c r="N30" s="287">
        <v>0</v>
      </c>
      <c r="O30" s="287">
        <v>6.2670000000000003</v>
      </c>
      <c r="P30" s="287">
        <v>2.1999999999999999E-2</v>
      </c>
      <c r="Q30" s="287">
        <v>23.981999999999999</v>
      </c>
      <c r="R30" s="287">
        <v>4.2290000000000001</v>
      </c>
      <c r="S30" s="287">
        <v>0</v>
      </c>
      <c r="T30" s="287">
        <v>0</v>
      </c>
      <c r="U30" s="287">
        <v>0</v>
      </c>
      <c r="V30" s="287">
        <v>0</v>
      </c>
      <c r="W30" s="287">
        <v>28.210999999999999</v>
      </c>
      <c r="X30" s="287">
        <v>28.722999999999999</v>
      </c>
      <c r="Y30" s="286">
        <v>5289158.1917749997</v>
      </c>
      <c r="Z30" s="285" t="s">
        <v>633</v>
      </c>
    </row>
    <row r="31" spans="1:26" x14ac:dyDescent="0.25">
      <c r="A31" s="288" t="s">
        <v>137</v>
      </c>
      <c r="B31" s="285" t="s">
        <v>138</v>
      </c>
      <c r="C31" s="285" t="s">
        <v>783</v>
      </c>
      <c r="D31" s="286">
        <v>52904224</v>
      </c>
      <c r="E31" s="286">
        <v>0</v>
      </c>
      <c r="F31" s="286">
        <v>52904224</v>
      </c>
      <c r="G31" s="286">
        <v>11427</v>
      </c>
      <c r="H31" s="287">
        <v>17.88</v>
      </c>
      <c r="I31" s="287">
        <v>7.0659999999999998</v>
      </c>
      <c r="J31" s="287">
        <v>10.814</v>
      </c>
      <c r="K31" s="287">
        <v>0</v>
      </c>
      <c r="L31" s="287">
        <v>0</v>
      </c>
      <c r="M31" s="287">
        <v>1.3879999999999999</v>
      </c>
      <c r="N31" s="287">
        <v>0</v>
      </c>
      <c r="O31" s="287">
        <v>6.6150000000000002</v>
      </c>
      <c r="P31" s="287">
        <v>0.216</v>
      </c>
      <c r="Q31" s="287">
        <v>19.033000000000001</v>
      </c>
      <c r="R31" s="287">
        <v>11.625</v>
      </c>
      <c r="S31" s="287">
        <v>0</v>
      </c>
      <c r="T31" s="287">
        <v>0</v>
      </c>
      <c r="U31" s="287">
        <v>0</v>
      </c>
      <c r="V31" s="287">
        <v>0</v>
      </c>
      <c r="W31" s="287">
        <v>30.658000000000001</v>
      </c>
      <c r="X31" s="287">
        <v>34.302</v>
      </c>
      <c r="Y31" s="286">
        <v>1258922.9330819999</v>
      </c>
      <c r="Z31" s="285" t="s">
        <v>633</v>
      </c>
    </row>
    <row r="32" spans="1:26" x14ac:dyDescent="0.25">
      <c r="A32" s="288" t="s">
        <v>140</v>
      </c>
      <c r="B32" s="285" t="s">
        <v>138</v>
      </c>
      <c r="C32" s="285" t="s">
        <v>782</v>
      </c>
      <c r="D32" s="286">
        <v>98826061</v>
      </c>
      <c r="E32" s="286">
        <v>0</v>
      </c>
      <c r="F32" s="286">
        <v>98826061</v>
      </c>
      <c r="G32" s="286">
        <v>7030</v>
      </c>
      <c r="H32" s="287">
        <v>15.558</v>
      </c>
      <c r="I32" s="287">
        <v>5.8840000000000003</v>
      </c>
      <c r="J32" s="287">
        <v>9.6739999999999995</v>
      </c>
      <c r="K32" s="287">
        <v>0</v>
      </c>
      <c r="L32" s="287">
        <v>0</v>
      </c>
      <c r="M32" s="287">
        <v>0</v>
      </c>
      <c r="N32" s="287">
        <v>0</v>
      </c>
      <c r="O32" s="287">
        <v>8.3049999999999997</v>
      </c>
      <c r="P32" s="287">
        <v>7.0999999999999994E-2</v>
      </c>
      <c r="Q32" s="287">
        <v>18.05</v>
      </c>
      <c r="R32" s="287">
        <v>0</v>
      </c>
      <c r="S32" s="287">
        <v>0</v>
      </c>
      <c r="T32" s="287">
        <v>0</v>
      </c>
      <c r="U32" s="287">
        <v>0</v>
      </c>
      <c r="V32" s="287">
        <v>0</v>
      </c>
      <c r="W32" s="287">
        <v>18.05</v>
      </c>
      <c r="X32" s="287">
        <v>30.581</v>
      </c>
      <c r="Y32" s="286">
        <v>2113710.3715820001</v>
      </c>
      <c r="Z32" s="285" t="s">
        <v>633</v>
      </c>
    </row>
    <row r="33" spans="1:26" x14ac:dyDescent="0.25">
      <c r="A33" s="288" t="s">
        <v>141</v>
      </c>
      <c r="B33" s="285" t="s">
        <v>142</v>
      </c>
      <c r="C33" s="285" t="s">
        <v>781</v>
      </c>
      <c r="D33" s="286">
        <v>327601230</v>
      </c>
      <c r="E33" s="286">
        <v>0</v>
      </c>
      <c r="F33" s="286">
        <v>327601230</v>
      </c>
      <c r="G33" s="286">
        <v>3278.78</v>
      </c>
      <c r="H33" s="287">
        <v>12.484999999999999</v>
      </c>
      <c r="I33" s="287">
        <v>0</v>
      </c>
      <c r="J33" s="287">
        <v>12.484999999999999</v>
      </c>
      <c r="K33" s="287">
        <v>0</v>
      </c>
      <c r="L33" s="287">
        <v>0</v>
      </c>
      <c r="M33" s="287">
        <v>0</v>
      </c>
      <c r="N33" s="287">
        <v>0</v>
      </c>
      <c r="O33" s="287">
        <v>8.5579999999999998</v>
      </c>
      <c r="P33" s="287">
        <v>0.01</v>
      </c>
      <c r="Q33" s="287">
        <v>21.053000000000001</v>
      </c>
      <c r="R33" s="287">
        <v>7.835</v>
      </c>
      <c r="S33" s="287">
        <v>0</v>
      </c>
      <c r="T33" s="287">
        <v>0</v>
      </c>
      <c r="U33" s="287">
        <v>0</v>
      </c>
      <c r="V33" s="287">
        <v>0</v>
      </c>
      <c r="W33" s="287">
        <v>28.888000000000002</v>
      </c>
      <c r="X33" s="287">
        <v>20.96</v>
      </c>
      <c r="Y33" s="286">
        <v>2906997.5359</v>
      </c>
      <c r="Z33" s="285" t="s">
        <v>633</v>
      </c>
    </row>
    <row r="34" spans="1:26" x14ac:dyDescent="0.25">
      <c r="A34" s="288" t="s">
        <v>143</v>
      </c>
      <c r="B34" s="285" t="s">
        <v>144</v>
      </c>
      <c r="C34" s="285" t="s">
        <v>780</v>
      </c>
      <c r="D34" s="286">
        <v>39025522</v>
      </c>
      <c r="E34" s="286">
        <v>0</v>
      </c>
      <c r="F34" s="286">
        <v>39025522</v>
      </c>
      <c r="G34" s="286">
        <v>2401</v>
      </c>
      <c r="H34" s="287">
        <v>23.405999999999999</v>
      </c>
      <c r="I34" s="287">
        <v>3.2829999999999999</v>
      </c>
      <c r="J34" s="287">
        <v>20.123000000000001</v>
      </c>
      <c r="K34" s="287">
        <v>0</v>
      </c>
      <c r="L34" s="287">
        <v>0</v>
      </c>
      <c r="M34" s="287">
        <v>4.8650000000000002</v>
      </c>
      <c r="N34" s="287">
        <v>0</v>
      </c>
      <c r="O34" s="287">
        <v>0</v>
      </c>
      <c r="P34" s="287">
        <v>6.2E-2</v>
      </c>
      <c r="Q34" s="287">
        <v>25.05</v>
      </c>
      <c r="R34" s="287">
        <v>10.249000000000001</v>
      </c>
      <c r="S34" s="287">
        <v>0</v>
      </c>
      <c r="T34" s="287">
        <v>0</v>
      </c>
      <c r="U34" s="287">
        <v>0</v>
      </c>
      <c r="V34" s="287">
        <v>0</v>
      </c>
      <c r="W34" s="287">
        <v>35.298999999999999</v>
      </c>
      <c r="X34" s="287">
        <v>249.92400000000001</v>
      </c>
      <c r="Y34" s="286">
        <v>9925480.2675599996</v>
      </c>
      <c r="Z34" s="285" t="s">
        <v>633</v>
      </c>
    </row>
    <row r="35" spans="1:26" x14ac:dyDescent="0.25">
      <c r="A35" s="288" t="s">
        <v>146</v>
      </c>
      <c r="B35" s="285" t="s">
        <v>144</v>
      </c>
      <c r="C35" s="285" t="s">
        <v>779</v>
      </c>
      <c r="D35" s="286">
        <v>10045015</v>
      </c>
      <c r="E35" s="286">
        <v>0</v>
      </c>
      <c r="F35" s="286">
        <v>10045015</v>
      </c>
      <c r="G35" s="286">
        <v>2170</v>
      </c>
      <c r="H35" s="287">
        <v>27</v>
      </c>
      <c r="I35" s="287">
        <v>0</v>
      </c>
      <c r="J35" s="287">
        <v>27</v>
      </c>
      <c r="K35" s="287">
        <v>0</v>
      </c>
      <c r="L35" s="287">
        <v>0</v>
      </c>
      <c r="M35" s="287">
        <v>0</v>
      </c>
      <c r="N35" s="287">
        <v>0</v>
      </c>
      <c r="O35" s="287">
        <v>0</v>
      </c>
      <c r="P35" s="287">
        <v>0.22600000000000001</v>
      </c>
      <c r="Q35" s="287">
        <v>27.225999999999999</v>
      </c>
      <c r="R35" s="287">
        <v>8.86</v>
      </c>
      <c r="S35" s="287">
        <v>0</v>
      </c>
      <c r="T35" s="287">
        <v>0</v>
      </c>
      <c r="U35" s="287">
        <v>0</v>
      </c>
      <c r="V35" s="287">
        <v>0</v>
      </c>
      <c r="W35" s="287">
        <v>36.085999999999999</v>
      </c>
      <c r="X35" s="287">
        <v>414.90300000000002</v>
      </c>
      <c r="Y35" s="286">
        <v>4377741.9562999997</v>
      </c>
      <c r="Z35" s="285" t="s">
        <v>633</v>
      </c>
    </row>
    <row r="36" spans="1:26" x14ac:dyDescent="0.25">
      <c r="A36" s="288" t="s">
        <v>148</v>
      </c>
      <c r="B36" s="285" t="s">
        <v>144</v>
      </c>
      <c r="C36" s="285" t="s">
        <v>778</v>
      </c>
      <c r="D36" s="286">
        <v>34298535</v>
      </c>
      <c r="E36" s="286">
        <v>0</v>
      </c>
      <c r="F36" s="286">
        <v>34298535</v>
      </c>
      <c r="G36" s="286">
        <v>5473</v>
      </c>
      <c r="H36" s="287">
        <v>27</v>
      </c>
      <c r="I36" s="287">
        <v>5.2119999999999997</v>
      </c>
      <c r="J36" s="287">
        <v>21.788</v>
      </c>
      <c r="K36" s="287">
        <v>0</v>
      </c>
      <c r="L36" s="287">
        <v>0</v>
      </c>
      <c r="M36" s="287">
        <v>0</v>
      </c>
      <c r="N36" s="287">
        <v>0</v>
      </c>
      <c r="O36" s="287">
        <v>0</v>
      </c>
      <c r="P36" s="287">
        <v>0.16</v>
      </c>
      <c r="Q36" s="287">
        <v>21.948</v>
      </c>
      <c r="R36" s="287">
        <v>11.954000000000001</v>
      </c>
      <c r="S36" s="287">
        <v>0</v>
      </c>
      <c r="T36" s="287">
        <v>0</v>
      </c>
      <c r="U36" s="287">
        <v>0</v>
      </c>
      <c r="V36" s="287">
        <v>0</v>
      </c>
      <c r="W36" s="287">
        <v>33.902000000000001</v>
      </c>
      <c r="X36" s="287">
        <v>74.701999999999998</v>
      </c>
      <c r="Y36" s="286">
        <v>2004680.2533160001</v>
      </c>
      <c r="Z36" s="285" t="s">
        <v>633</v>
      </c>
    </row>
    <row r="37" spans="1:26" x14ac:dyDescent="0.25">
      <c r="A37" s="288" t="s">
        <v>150</v>
      </c>
      <c r="B37" s="285" t="s">
        <v>151</v>
      </c>
      <c r="C37" s="285" t="s">
        <v>777</v>
      </c>
      <c r="D37" s="286">
        <v>66962002</v>
      </c>
      <c r="E37" s="286">
        <v>0</v>
      </c>
      <c r="F37" s="286">
        <v>66962002</v>
      </c>
      <c r="G37" s="286">
        <v>17209</v>
      </c>
      <c r="H37" s="287">
        <v>27</v>
      </c>
      <c r="I37" s="287">
        <v>7.72</v>
      </c>
      <c r="J37" s="287">
        <v>19.28</v>
      </c>
      <c r="K37" s="287">
        <v>0</v>
      </c>
      <c r="L37" s="287">
        <v>0</v>
      </c>
      <c r="M37" s="287">
        <v>0</v>
      </c>
      <c r="N37" s="287">
        <v>0</v>
      </c>
      <c r="O37" s="287">
        <v>0</v>
      </c>
      <c r="P37" s="287">
        <v>0.25700000000000001</v>
      </c>
      <c r="Q37" s="287">
        <v>19.536999999999999</v>
      </c>
      <c r="R37" s="287">
        <v>6.9560000000000004</v>
      </c>
      <c r="S37" s="287">
        <v>0</v>
      </c>
      <c r="T37" s="287">
        <v>0</v>
      </c>
      <c r="U37" s="287">
        <v>0</v>
      </c>
      <c r="V37" s="287">
        <v>0</v>
      </c>
      <c r="W37" s="287">
        <v>26.492999999999999</v>
      </c>
      <c r="X37" s="287">
        <v>46.107999999999997</v>
      </c>
      <c r="Y37" s="286">
        <v>1865702.02996</v>
      </c>
      <c r="Z37" s="285" t="s">
        <v>633</v>
      </c>
    </row>
    <row r="38" spans="1:26" x14ac:dyDescent="0.25">
      <c r="A38" s="288" t="s">
        <v>153</v>
      </c>
      <c r="B38" s="285" t="s">
        <v>151</v>
      </c>
      <c r="C38" s="285" t="s">
        <v>776</v>
      </c>
      <c r="D38" s="286">
        <v>89325595</v>
      </c>
      <c r="E38" s="286">
        <v>0</v>
      </c>
      <c r="F38" s="286">
        <v>89325595</v>
      </c>
      <c r="G38" s="286">
        <v>58955</v>
      </c>
      <c r="H38" s="287">
        <v>27</v>
      </c>
      <c r="I38" s="287">
        <v>0</v>
      </c>
      <c r="J38" s="287">
        <v>27</v>
      </c>
      <c r="K38" s="287">
        <v>0</v>
      </c>
      <c r="L38" s="287">
        <v>0</v>
      </c>
      <c r="M38" s="287">
        <v>0</v>
      </c>
      <c r="N38" s="287">
        <v>0</v>
      </c>
      <c r="O38" s="287">
        <v>5.0999999999999996</v>
      </c>
      <c r="P38" s="287">
        <v>0.66</v>
      </c>
      <c r="Q38" s="287">
        <v>32.76</v>
      </c>
      <c r="R38" s="287">
        <v>11.475</v>
      </c>
      <c r="S38" s="287">
        <v>0</v>
      </c>
      <c r="T38" s="287">
        <v>0</v>
      </c>
      <c r="U38" s="287">
        <v>0</v>
      </c>
      <c r="V38" s="287">
        <v>0</v>
      </c>
      <c r="W38" s="287">
        <v>44.234999999999999</v>
      </c>
      <c r="X38" s="287">
        <v>43.061999999999998</v>
      </c>
      <c r="Y38" s="286">
        <v>1489918.8962000001</v>
      </c>
      <c r="Z38" s="285" t="s">
        <v>633</v>
      </c>
    </row>
    <row r="39" spans="1:26" x14ac:dyDescent="0.25">
      <c r="A39" s="288" t="s">
        <v>155</v>
      </c>
      <c r="B39" s="285" t="s">
        <v>156</v>
      </c>
      <c r="C39" s="285" t="s">
        <v>775</v>
      </c>
      <c r="D39" s="286">
        <v>57646688</v>
      </c>
      <c r="E39" s="286">
        <v>0</v>
      </c>
      <c r="F39" s="286">
        <v>57646688</v>
      </c>
      <c r="G39" s="286">
        <v>0</v>
      </c>
      <c r="H39" s="287">
        <v>27</v>
      </c>
      <c r="I39" s="287">
        <v>7.5510000000000002</v>
      </c>
      <c r="J39" s="287">
        <v>19.449000000000002</v>
      </c>
      <c r="K39" s="287">
        <v>0</v>
      </c>
      <c r="L39" s="287">
        <v>0</v>
      </c>
      <c r="M39" s="287">
        <v>0</v>
      </c>
      <c r="N39" s="287">
        <v>0</v>
      </c>
      <c r="O39" s="287">
        <v>6</v>
      </c>
      <c r="P39" s="287">
        <v>0</v>
      </c>
      <c r="Q39" s="287">
        <v>25.449000000000002</v>
      </c>
      <c r="R39" s="287">
        <v>0</v>
      </c>
      <c r="S39" s="287">
        <v>0</v>
      </c>
      <c r="T39" s="287">
        <v>0</v>
      </c>
      <c r="U39" s="287">
        <v>0</v>
      </c>
      <c r="V39" s="287">
        <v>0</v>
      </c>
      <c r="W39" s="287">
        <v>25.449000000000002</v>
      </c>
      <c r="X39" s="287">
        <v>80.918999999999997</v>
      </c>
      <c r="Y39" s="286">
        <v>3695031.0248409999</v>
      </c>
      <c r="Z39" s="285" t="s">
        <v>633</v>
      </c>
    </row>
    <row r="40" spans="1:26" x14ac:dyDescent="0.25">
      <c r="A40" s="288" t="s">
        <v>157</v>
      </c>
      <c r="B40" s="285" t="s">
        <v>158</v>
      </c>
      <c r="C40" s="285" t="s">
        <v>774</v>
      </c>
      <c r="D40" s="286">
        <v>149275444</v>
      </c>
      <c r="E40" s="286">
        <v>0</v>
      </c>
      <c r="F40" s="286">
        <v>149275444</v>
      </c>
      <c r="G40" s="286">
        <v>149</v>
      </c>
      <c r="H40" s="287">
        <v>27</v>
      </c>
      <c r="I40" s="287">
        <v>1.097</v>
      </c>
      <c r="J40" s="287">
        <v>25.902999999999999</v>
      </c>
      <c r="K40" s="287">
        <v>0</v>
      </c>
      <c r="L40" s="287">
        <v>0</v>
      </c>
      <c r="M40" s="287">
        <v>0</v>
      </c>
      <c r="N40" s="287">
        <v>0</v>
      </c>
      <c r="O40" s="287">
        <v>0</v>
      </c>
      <c r="P40" s="287">
        <v>1E-3</v>
      </c>
      <c r="Q40" s="287">
        <v>25.904</v>
      </c>
      <c r="R40" s="287">
        <v>2.0099999999999998</v>
      </c>
      <c r="S40" s="287">
        <v>0</v>
      </c>
      <c r="T40" s="287">
        <v>0</v>
      </c>
      <c r="U40" s="287">
        <v>0</v>
      </c>
      <c r="V40" s="287">
        <v>0</v>
      </c>
      <c r="W40" s="287">
        <v>27.914000000000001</v>
      </c>
      <c r="X40" s="287">
        <v>25.754000000000001</v>
      </c>
      <c r="Y40" s="286">
        <v>0</v>
      </c>
      <c r="Z40" s="285" t="s">
        <v>633</v>
      </c>
    </row>
    <row r="41" spans="1:26" x14ac:dyDescent="0.25">
      <c r="A41" s="288" t="s">
        <v>160</v>
      </c>
      <c r="B41" s="285" t="s">
        <v>161</v>
      </c>
      <c r="C41" s="285" t="s">
        <v>773</v>
      </c>
      <c r="D41" s="286">
        <v>506587950</v>
      </c>
      <c r="E41" s="286">
        <v>655768</v>
      </c>
      <c r="F41" s="286">
        <v>505932182</v>
      </c>
      <c r="G41" s="286">
        <v>18061</v>
      </c>
      <c r="H41" s="287">
        <v>27</v>
      </c>
      <c r="I41" s="287">
        <v>1.3440000000000001</v>
      </c>
      <c r="J41" s="287">
        <v>25.655999999999999</v>
      </c>
      <c r="K41" s="287">
        <v>0</v>
      </c>
      <c r="L41" s="287">
        <v>0</v>
      </c>
      <c r="M41" s="287">
        <v>0</v>
      </c>
      <c r="N41" s="287">
        <v>0</v>
      </c>
      <c r="O41" s="287">
        <v>0</v>
      </c>
      <c r="P41" s="287">
        <v>3.5999999999999997E-2</v>
      </c>
      <c r="Q41" s="287">
        <v>25.692</v>
      </c>
      <c r="R41" s="287">
        <v>3.9239999999999999</v>
      </c>
      <c r="S41" s="287">
        <v>0</v>
      </c>
      <c r="T41" s="287">
        <v>0</v>
      </c>
      <c r="U41" s="287">
        <v>0</v>
      </c>
      <c r="V41" s="287">
        <v>0</v>
      </c>
      <c r="W41" s="287">
        <v>29.616</v>
      </c>
      <c r="X41" s="287">
        <v>83.001999999999995</v>
      </c>
      <c r="Y41" s="286">
        <v>31209029.999667998</v>
      </c>
      <c r="Z41" s="285" t="s">
        <v>633</v>
      </c>
    </row>
    <row r="42" spans="1:26" x14ac:dyDescent="0.25">
      <c r="A42" s="288" t="s">
        <v>162</v>
      </c>
      <c r="B42" s="285" t="s">
        <v>163</v>
      </c>
      <c r="C42" s="285" t="s">
        <v>772</v>
      </c>
      <c r="D42" s="286">
        <v>26952552320</v>
      </c>
      <c r="E42" s="286">
        <v>1773179409</v>
      </c>
      <c r="F42" s="286">
        <v>25179372911</v>
      </c>
      <c r="G42" s="286">
        <v>10700425</v>
      </c>
      <c r="H42" s="287">
        <v>27</v>
      </c>
      <c r="I42" s="287">
        <v>0</v>
      </c>
      <c r="J42" s="287">
        <v>27</v>
      </c>
      <c r="K42" s="287">
        <v>0</v>
      </c>
      <c r="L42" s="287">
        <v>0</v>
      </c>
      <c r="M42" s="287">
        <v>0</v>
      </c>
      <c r="N42" s="287">
        <v>0</v>
      </c>
      <c r="O42" s="287">
        <v>10.27</v>
      </c>
      <c r="P42" s="287">
        <v>0.42499999999999999</v>
      </c>
      <c r="Q42" s="287">
        <v>37.695</v>
      </c>
      <c r="R42" s="287">
        <v>9.843</v>
      </c>
      <c r="S42" s="287">
        <v>0</v>
      </c>
      <c r="T42" s="287">
        <v>3.173</v>
      </c>
      <c r="U42" s="287">
        <v>0</v>
      </c>
      <c r="V42" s="287">
        <v>0</v>
      </c>
      <c r="W42" s="287">
        <v>50.710999999999999</v>
      </c>
      <c r="X42" s="287">
        <v>34.933</v>
      </c>
      <c r="Y42" s="286">
        <v>207036967.78490001</v>
      </c>
      <c r="Z42" s="285" t="s">
        <v>633</v>
      </c>
    </row>
    <row r="43" spans="1:26" x14ac:dyDescent="0.25">
      <c r="A43" s="288" t="s">
        <v>164</v>
      </c>
      <c r="B43" s="285" t="s">
        <v>165</v>
      </c>
      <c r="C43" s="285" t="s">
        <v>771</v>
      </c>
      <c r="D43" s="286">
        <v>113920489</v>
      </c>
      <c r="E43" s="286">
        <v>0</v>
      </c>
      <c r="F43" s="286">
        <v>113920489</v>
      </c>
      <c r="G43" s="286">
        <v>2110</v>
      </c>
      <c r="H43" s="287">
        <v>18.684999999999999</v>
      </c>
      <c r="I43" s="287">
        <v>0.126</v>
      </c>
      <c r="J43" s="287">
        <v>18.559000000000001</v>
      </c>
      <c r="K43" s="287">
        <v>0</v>
      </c>
      <c r="L43" s="287">
        <v>0</v>
      </c>
      <c r="M43" s="287">
        <v>0</v>
      </c>
      <c r="N43" s="287">
        <v>0</v>
      </c>
      <c r="O43" s="287">
        <v>3</v>
      </c>
      <c r="P43" s="287">
        <v>1.9E-2</v>
      </c>
      <c r="Q43" s="287">
        <v>21.577999999999999</v>
      </c>
      <c r="R43" s="287">
        <v>7.593</v>
      </c>
      <c r="S43" s="287">
        <v>0</v>
      </c>
      <c r="T43" s="287">
        <v>0</v>
      </c>
      <c r="U43" s="287">
        <v>0</v>
      </c>
      <c r="V43" s="287">
        <v>0</v>
      </c>
      <c r="W43" s="287">
        <v>29.170999999999999</v>
      </c>
      <c r="X43" s="287">
        <v>33.027999999999999</v>
      </c>
      <c r="Y43" s="286">
        <v>1702098.6997209999</v>
      </c>
      <c r="Z43" s="285" t="s">
        <v>633</v>
      </c>
    </row>
    <row r="44" spans="1:26" x14ac:dyDescent="0.25">
      <c r="A44" s="288" t="s">
        <v>166</v>
      </c>
      <c r="B44" s="285" t="s">
        <v>167</v>
      </c>
      <c r="C44" s="285" t="s">
        <v>770</v>
      </c>
      <c r="D44" s="286">
        <v>10459497895</v>
      </c>
      <c r="E44" s="286">
        <v>98510571</v>
      </c>
      <c r="F44" s="286">
        <v>10360987324</v>
      </c>
      <c r="G44" s="286">
        <v>2535298.58</v>
      </c>
      <c r="H44" s="287">
        <v>27</v>
      </c>
      <c r="I44" s="287">
        <v>0</v>
      </c>
      <c r="J44" s="287">
        <v>27</v>
      </c>
      <c r="K44" s="287">
        <v>0</v>
      </c>
      <c r="L44" s="287">
        <v>0</v>
      </c>
      <c r="M44" s="287">
        <v>0</v>
      </c>
      <c r="N44" s="287">
        <v>0</v>
      </c>
      <c r="O44" s="287">
        <v>13.484999999999999</v>
      </c>
      <c r="P44" s="287">
        <v>0.245</v>
      </c>
      <c r="Q44" s="287">
        <v>40.729999999999997</v>
      </c>
      <c r="R44" s="287">
        <v>5.2039999999999997</v>
      </c>
      <c r="S44" s="287">
        <v>0</v>
      </c>
      <c r="T44" s="287">
        <v>0</v>
      </c>
      <c r="U44" s="287">
        <v>0</v>
      </c>
      <c r="V44" s="287">
        <v>0</v>
      </c>
      <c r="W44" s="287">
        <v>45.933999999999997</v>
      </c>
      <c r="X44" s="287">
        <v>59.542000000000002</v>
      </c>
      <c r="Y44" s="286">
        <v>351458425.42320001</v>
      </c>
      <c r="Z44" s="285" t="s">
        <v>633</v>
      </c>
    </row>
    <row r="45" spans="1:26" x14ac:dyDescent="0.25">
      <c r="A45" s="288" t="s">
        <v>168</v>
      </c>
      <c r="B45" s="285" t="s">
        <v>169</v>
      </c>
      <c r="C45" s="285" t="s">
        <v>769</v>
      </c>
      <c r="D45" s="286">
        <v>4762708440</v>
      </c>
      <c r="E45" s="286">
        <v>182628230</v>
      </c>
      <c r="F45" s="286">
        <v>4580080210</v>
      </c>
      <c r="G45" s="286">
        <v>129868.81</v>
      </c>
      <c r="H45" s="287">
        <v>12.138</v>
      </c>
      <c r="I45" s="287">
        <v>0</v>
      </c>
      <c r="J45" s="287">
        <v>12.138</v>
      </c>
      <c r="K45" s="287">
        <v>0</v>
      </c>
      <c r="L45" s="287">
        <v>0</v>
      </c>
      <c r="M45" s="287">
        <v>0.46200000000000002</v>
      </c>
      <c r="N45" s="287">
        <v>0</v>
      </c>
      <c r="O45" s="287">
        <v>3.512</v>
      </c>
      <c r="P45" s="287">
        <v>2.8000000000000001E-2</v>
      </c>
      <c r="Q45" s="287">
        <v>16.14</v>
      </c>
      <c r="R45" s="287">
        <v>5.9589999999999996</v>
      </c>
      <c r="S45" s="287">
        <v>0.218</v>
      </c>
      <c r="T45" s="287">
        <v>0</v>
      </c>
      <c r="U45" s="287">
        <v>0</v>
      </c>
      <c r="V45" s="287">
        <v>0</v>
      </c>
      <c r="W45" s="287">
        <v>22.317</v>
      </c>
      <c r="X45" s="287">
        <v>15.615</v>
      </c>
      <c r="Y45" s="286">
        <v>16305760.15986</v>
      </c>
      <c r="Z45" s="285" t="s">
        <v>633</v>
      </c>
    </row>
    <row r="46" spans="1:26" x14ac:dyDescent="0.25">
      <c r="A46" s="288" t="s">
        <v>170</v>
      </c>
      <c r="B46" s="285" t="s">
        <v>171</v>
      </c>
      <c r="C46" s="285" t="s">
        <v>768</v>
      </c>
      <c r="D46" s="286">
        <v>367330061</v>
      </c>
      <c r="E46" s="286">
        <v>0</v>
      </c>
      <c r="F46" s="286">
        <v>367330061</v>
      </c>
      <c r="G46" s="286">
        <v>8815.24</v>
      </c>
      <c r="H46" s="287">
        <v>27</v>
      </c>
      <c r="I46" s="287">
        <v>0</v>
      </c>
      <c r="J46" s="287">
        <v>27</v>
      </c>
      <c r="K46" s="287">
        <v>0</v>
      </c>
      <c r="L46" s="287">
        <v>0</v>
      </c>
      <c r="M46" s="287">
        <v>0</v>
      </c>
      <c r="N46" s="287">
        <v>0</v>
      </c>
      <c r="O46" s="287">
        <v>4.3289999999999997</v>
      </c>
      <c r="P46" s="287">
        <v>2.4E-2</v>
      </c>
      <c r="Q46" s="287">
        <v>31.353000000000002</v>
      </c>
      <c r="R46" s="287">
        <v>0</v>
      </c>
      <c r="S46" s="287">
        <v>0</v>
      </c>
      <c r="T46" s="287">
        <v>0</v>
      </c>
      <c r="U46" s="287">
        <v>0</v>
      </c>
      <c r="V46" s="287">
        <v>0</v>
      </c>
      <c r="W46" s="287">
        <v>31.353000000000002</v>
      </c>
      <c r="X46" s="287">
        <v>61.298000000000002</v>
      </c>
      <c r="Y46" s="286">
        <v>13323553.9045</v>
      </c>
      <c r="Z46" s="285" t="s">
        <v>633</v>
      </c>
    </row>
    <row r="47" spans="1:26" x14ac:dyDescent="0.25">
      <c r="A47" s="288" t="s">
        <v>173</v>
      </c>
      <c r="B47" s="285" t="s">
        <v>171</v>
      </c>
      <c r="C47" s="285" t="s">
        <v>767</v>
      </c>
      <c r="D47" s="286">
        <v>67234108</v>
      </c>
      <c r="E47" s="286">
        <v>0</v>
      </c>
      <c r="F47" s="286">
        <v>67234108</v>
      </c>
      <c r="G47" s="286">
        <v>4451.4799999999996</v>
      </c>
      <c r="H47" s="287">
        <v>27</v>
      </c>
      <c r="I47" s="287">
        <v>4.8120000000000003</v>
      </c>
      <c r="J47" s="287">
        <v>22.187999999999999</v>
      </c>
      <c r="K47" s="287">
        <v>0</v>
      </c>
      <c r="L47" s="287">
        <v>0</v>
      </c>
      <c r="M47" s="287">
        <v>0</v>
      </c>
      <c r="N47" s="287">
        <v>0</v>
      </c>
      <c r="O47" s="287">
        <v>0</v>
      </c>
      <c r="P47" s="287">
        <v>6.6000000000000003E-2</v>
      </c>
      <c r="Q47" s="287">
        <v>22.254000000000001</v>
      </c>
      <c r="R47" s="287">
        <v>0</v>
      </c>
      <c r="S47" s="287">
        <v>0</v>
      </c>
      <c r="T47" s="287">
        <v>0</v>
      </c>
      <c r="U47" s="287">
        <v>0</v>
      </c>
      <c r="V47" s="287">
        <v>0</v>
      </c>
      <c r="W47" s="287">
        <v>22.254000000000001</v>
      </c>
      <c r="X47" s="287">
        <v>58.634999999999998</v>
      </c>
      <c r="Y47" s="286">
        <v>2580161.989976</v>
      </c>
      <c r="Z47" s="285" t="s">
        <v>633</v>
      </c>
    </row>
    <row r="48" spans="1:26" x14ac:dyDescent="0.25">
      <c r="A48" s="288" t="s">
        <v>175</v>
      </c>
      <c r="B48" s="285" t="s">
        <v>171</v>
      </c>
      <c r="C48" s="285" t="s">
        <v>766</v>
      </c>
      <c r="D48" s="286">
        <v>43488050</v>
      </c>
      <c r="E48" s="286">
        <v>0</v>
      </c>
      <c r="F48" s="286">
        <v>43488050</v>
      </c>
      <c r="G48" s="286">
        <v>1714.01</v>
      </c>
      <c r="H48" s="287">
        <v>27</v>
      </c>
      <c r="I48" s="287">
        <v>0</v>
      </c>
      <c r="J48" s="287">
        <v>27</v>
      </c>
      <c r="K48" s="287">
        <v>0</v>
      </c>
      <c r="L48" s="287">
        <v>0</v>
      </c>
      <c r="M48" s="287">
        <v>0</v>
      </c>
      <c r="N48" s="287">
        <v>0</v>
      </c>
      <c r="O48" s="287">
        <v>0</v>
      </c>
      <c r="P48" s="287">
        <v>3.9E-2</v>
      </c>
      <c r="Q48" s="287">
        <v>27.039000000000001</v>
      </c>
      <c r="R48" s="287">
        <v>4.577</v>
      </c>
      <c r="S48" s="287">
        <v>0</v>
      </c>
      <c r="T48" s="287">
        <v>0</v>
      </c>
      <c r="U48" s="287">
        <v>0</v>
      </c>
      <c r="V48" s="287">
        <v>0</v>
      </c>
      <c r="W48" s="287">
        <v>31.616</v>
      </c>
      <c r="X48" s="287">
        <v>104.253</v>
      </c>
      <c r="Y48" s="286">
        <v>3493922.0965</v>
      </c>
      <c r="Z48" s="285" t="s">
        <v>633</v>
      </c>
    </row>
    <row r="49" spans="1:26" x14ac:dyDescent="0.25">
      <c r="A49" s="288" t="s">
        <v>177</v>
      </c>
      <c r="B49" s="285" t="s">
        <v>171</v>
      </c>
      <c r="C49" s="285" t="s">
        <v>765</v>
      </c>
      <c r="D49" s="286">
        <v>36779971</v>
      </c>
      <c r="E49" s="286">
        <v>0</v>
      </c>
      <c r="F49" s="286">
        <v>36779971</v>
      </c>
      <c r="G49" s="286">
        <v>3035</v>
      </c>
      <c r="H49" s="287">
        <v>24.431000000000001</v>
      </c>
      <c r="I49" s="287">
        <v>0.83499999999999996</v>
      </c>
      <c r="J49" s="287">
        <v>23.596</v>
      </c>
      <c r="K49" s="287">
        <v>0</v>
      </c>
      <c r="L49" s="287">
        <v>0</v>
      </c>
      <c r="M49" s="287">
        <v>0</v>
      </c>
      <c r="N49" s="287">
        <v>0</v>
      </c>
      <c r="O49" s="287">
        <v>0</v>
      </c>
      <c r="P49" s="287">
        <v>8.3000000000000004E-2</v>
      </c>
      <c r="Q49" s="287">
        <v>23.678999999999998</v>
      </c>
      <c r="R49" s="287">
        <v>5.4119999999999999</v>
      </c>
      <c r="S49" s="287">
        <v>0</v>
      </c>
      <c r="T49" s="287">
        <v>0</v>
      </c>
      <c r="U49" s="287">
        <v>0</v>
      </c>
      <c r="V49" s="287">
        <v>0</v>
      </c>
      <c r="W49" s="287">
        <v>29.091000000000001</v>
      </c>
      <c r="X49" s="287">
        <v>99.86</v>
      </c>
      <c r="Y49" s="286">
        <v>2970077.1477999999</v>
      </c>
      <c r="Z49" s="285" t="s">
        <v>633</v>
      </c>
    </row>
    <row r="50" spans="1:26" x14ac:dyDescent="0.25">
      <c r="A50" s="288" t="s">
        <v>178</v>
      </c>
      <c r="B50" s="285" t="s">
        <v>171</v>
      </c>
      <c r="C50" s="285" t="s">
        <v>764</v>
      </c>
      <c r="D50" s="286">
        <v>29731915</v>
      </c>
      <c r="E50" s="286">
        <v>0</v>
      </c>
      <c r="F50" s="286">
        <v>29731915</v>
      </c>
      <c r="G50" s="286">
        <v>481.71</v>
      </c>
      <c r="H50" s="287">
        <v>27</v>
      </c>
      <c r="I50" s="287">
        <v>7.202</v>
      </c>
      <c r="J50" s="287">
        <v>19.797999999999998</v>
      </c>
      <c r="K50" s="287">
        <v>0</v>
      </c>
      <c r="L50" s="287">
        <v>0</v>
      </c>
      <c r="M50" s="287">
        <v>0</v>
      </c>
      <c r="N50" s="287">
        <v>0</v>
      </c>
      <c r="O50" s="287">
        <v>0</v>
      </c>
      <c r="P50" s="287">
        <v>1.6E-2</v>
      </c>
      <c r="Q50" s="287">
        <v>19.814</v>
      </c>
      <c r="R50" s="287">
        <v>0</v>
      </c>
      <c r="S50" s="287">
        <v>0</v>
      </c>
      <c r="T50" s="287">
        <v>0</v>
      </c>
      <c r="U50" s="287">
        <v>0</v>
      </c>
      <c r="V50" s="287">
        <v>0</v>
      </c>
      <c r="W50" s="287">
        <v>19.814</v>
      </c>
      <c r="X50" s="287">
        <v>47.862000000000002</v>
      </c>
      <c r="Y50" s="286">
        <v>846563.16108999995</v>
      </c>
      <c r="Z50" s="285" t="s">
        <v>633</v>
      </c>
    </row>
    <row r="51" spans="1:26" x14ac:dyDescent="0.25">
      <c r="A51" s="288" t="s">
        <v>180</v>
      </c>
      <c r="B51" s="285" t="s">
        <v>181</v>
      </c>
      <c r="C51" s="285" t="s">
        <v>763</v>
      </c>
      <c r="D51" s="286">
        <v>57486290</v>
      </c>
      <c r="E51" s="286">
        <v>0</v>
      </c>
      <c r="F51" s="286">
        <v>57486290</v>
      </c>
      <c r="G51" s="286">
        <v>7305.69</v>
      </c>
      <c r="H51" s="287">
        <v>27</v>
      </c>
      <c r="I51" s="287">
        <v>0</v>
      </c>
      <c r="J51" s="287">
        <v>27</v>
      </c>
      <c r="K51" s="287">
        <v>0</v>
      </c>
      <c r="L51" s="287">
        <v>0</v>
      </c>
      <c r="M51" s="287">
        <v>0</v>
      </c>
      <c r="N51" s="287">
        <v>0</v>
      </c>
      <c r="O51" s="287">
        <v>0</v>
      </c>
      <c r="P51" s="287">
        <v>0.127</v>
      </c>
      <c r="Q51" s="287">
        <v>27.126999999999999</v>
      </c>
      <c r="R51" s="287">
        <v>9.5</v>
      </c>
      <c r="S51" s="287">
        <v>0</v>
      </c>
      <c r="T51" s="287">
        <v>0</v>
      </c>
      <c r="U51" s="287">
        <v>0</v>
      </c>
      <c r="V51" s="287">
        <v>0</v>
      </c>
      <c r="W51" s="287">
        <v>36.627000000000002</v>
      </c>
      <c r="X51" s="287">
        <v>90.491</v>
      </c>
      <c r="Y51" s="286">
        <v>3797248.2267999998</v>
      </c>
      <c r="Z51" s="285" t="s">
        <v>633</v>
      </c>
    </row>
    <row r="52" spans="1:26" x14ac:dyDescent="0.25">
      <c r="A52" s="288" t="s">
        <v>183</v>
      </c>
      <c r="B52" s="285" t="s">
        <v>181</v>
      </c>
      <c r="C52" s="285" t="s">
        <v>762</v>
      </c>
      <c r="D52" s="286">
        <v>997365410</v>
      </c>
      <c r="E52" s="286">
        <v>11318430</v>
      </c>
      <c r="F52" s="286">
        <v>986046980</v>
      </c>
      <c r="G52" s="286">
        <v>303718</v>
      </c>
      <c r="H52" s="287">
        <v>15.72</v>
      </c>
      <c r="I52" s="287">
        <v>0</v>
      </c>
      <c r="J52" s="287">
        <v>15.72</v>
      </c>
      <c r="K52" s="287">
        <v>0</v>
      </c>
      <c r="L52" s="287">
        <v>0</v>
      </c>
      <c r="M52" s="287">
        <v>0</v>
      </c>
      <c r="N52" s="287">
        <v>0</v>
      </c>
      <c r="O52" s="287">
        <v>5.8319999999999999</v>
      </c>
      <c r="P52" s="287">
        <v>0.308</v>
      </c>
      <c r="Q52" s="287">
        <v>21.86</v>
      </c>
      <c r="R52" s="287">
        <v>14.757999999999999</v>
      </c>
      <c r="S52" s="287">
        <v>0</v>
      </c>
      <c r="T52" s="287">
        <v>0</v>
      </c>
      <c r="U52" s="287">
        <v>0</v>
      </c>
      <c r="V52" s="287">
        <v>0</v>
      </c>
      <c r="W52" s="287">
        <v>36.618000000000002</v>
      </c>
      <c r="X52" s="287">
        <v>127.13800000000001</v>
      </c>
      <c r="Y52" s="286">
        <v>116199657.2252</v>
      </c>
      <c r="Z52" s="285" t="s">
        <v>633</v>
      </c>
    </row>
    <row r="53" spans="1:26" x14ac:dyDescent="0.25">
      <c r="A53" s="288" t="s">
        <v>185</v>
      </c>
      <c r="B53" s="285" t="s">
        <v>181</v>
      </c>
      <c r="C53" s="285" t="s">
        <v>761</v>
      </c>
      <c r="D53" s="286">
        <v>855646760</v>
      </c>
      <c r="E53" s="286">
        <v>2070940</v>
      </c>
      <c r="F53" s="286">
        <v>853575820</v>
      </c>
      <c r="G53" s="286">
        <v>47462.94</v>
      </c>
      <c r="H53" s="287">
        <v>27</v>
      </c>
      <c r="I53" s="287">
        <v>2.1059999999999999</v>
      </c>
      <c r="J53" s="287">
        <v>24.893999999999998</v>
      </c>
      <c r="K53" s="287">
        <v>0</v>
      </c>
      <c r="L53" s="287">
        <v>0</v>
      </c>
      <c r="M53" s="287">
        <v>0</v>
      </c>
      <c r="N53" s="287">
        <v>0</v>
      </c>
      <c r="O53" s="287">
        <v>11.135</v>
      </c>
      <c r="P53" s="287">
        <v>5.6000000000000001E-2</v>
      </c>
      <c r="Q53" s="287">
        <v>36.085000000000001</v>
      </c>
      <c r="R53" s="287">
        <v>4.7</v>
      </c>
      <c r="S53" s="287">
        <v>0</v>
      </c>
      <c r="T53" s="287">
        <v>0</v>
      </c>
      <c r="U53" s="287">
        <v>0</v>
      </c>
      <c r="V53" s="287">
        <v>6.3120000000000003</v>
      </c>
      <c r="W53" s="287">
        <v>47.097000000000001</v>
      </c>
      <c r="X53" s="287">
        <v>101.90900000000001</v>
      </c>
      <c r="Y53" s="286">
        <v>70442068.105000004</v>
      </c>
      <c r="Z53" s="285" t="s">
        <v>633</v>
      </c>
    </row>
    <row r="54" spans="1:26" x14ac:dyDescent="0.25">
      <c r="A54" s="288" t="s">
        <v>187</v>
      </c>
      <c r="B54" s="285" t="s">
        <v>181</v>
      </c>
      <c r="C54" s="285" t="s">
        <v>760</v>
      </c>
      <c r="D54" s="286">
        <v>247559830</v>
      </c>
      <c r="E54" s="286">
        <v>4900420</v>
      </c>
      <c r="F54" s="286">
        <v>242659410</v>
      </c>
      <c r="G54" s="286">
        <v>11438.12</v>
      </c>
      <c r="H54" s="287">
        <v>27</v>
      </c>
      <c r="I54" s="287">
        <v>4.3159999999999998</v>
      </c>
      <c r="J54" s="287">
        <v>22.684000000000001</v>
      </c>
      <c r="K54" s="287">
        <v>0</v>
      </c>
      <c r="L54" s="287">
        <v>0</v>
      </c>
      <c r="M54" s="287">
        <v>0</v>
      </c>
      <c r="N54" s="287">
        <v>0</v>
      </c>
      <c r="O54" s="287">
        <v>5</v>
      </c>
      <c r="P54" s="287">
        <v>4.7E-2</v>
      </c>
      <c r="Q54" s="287">
        <v>27.731000000000002</v>
      </c>
      <c r="R54" s="287">
        <v>0</v>
      </c>
      <c r="S54" s="287">
        <v>0</v>
      </c>
      <c r="T54" s="287">
        <v>0</v>
      </c>
      <c r="U54" s="287">
        <v>0</v>
      </c>
      <c r="V54" s="287">
        <v>0</v>
      </c>
      <c r="W54" s="287">
        <v>27.731000000000002</v>
      </c>
      <c r="X54" s="287">
        <v>307.363</v>
      </c>
      <c r="Y54" s="286">
        <v>74207209.522200003</v>
      </c>
      <c r="Z54" s="285" t="s">
        <v>633</v>
      </c>
    </row>
    <row r="55" spans="1:26" x14ac:dyDescent="0.25">
      <c r="A55" s="288" t="s">
        <v>189</v>
      </c>
      <c r="B55" s="285" t="s">
        <v>181</v>
      </c>
      <c r="C55" s="285" t="s">
        <v>759</v>
      </c>
      <c r="D55" s="286">
        <v>4233689670</v>
      </c>
      <c r="E55" s="286">
        <v>111823160</v>
      </c>
      <c r="F55" s="286">
        <v>4121866510</v>
      </c>
      <c r="G55" s="286">
        <v>960274.44</v>
      </c>
      <c r="H55" s="287">
        <v>20.715</v>
      </c>
      <c r="I55" s="287">
        <v>0</v>
      </c>
      <c r="J55" s="287">
        <v>20.715</v>
      </c>
      <c r="K55" s="287">
        <v>0</v>
      </c>
      <c r="L55" s="287">
        <v>0</v>
      </c>
      <c r="M55" s="287">
        <v>0</v>
      </c>
      <c r="N55" s="287">
        <v>0</v>
      </c>
      <c r="O55" s="287">
        <v>19.120999999999999</v>
      </c>
      <c r="P55" s="287">
        <v>0.23300000000000001</v>
      </c>
      <c r="Q55" s="287">
        <v>40.069000000000003</v>
      </c>
      <c r="R55" s="287">
        <v>0</v>
      </c>
      <c r="S55" s="287">
        <v>0</v>
      </c>
      <c r="T55" s="287">
        <v>0</v>
      </c>
      <c r="U55" s="287">
        <v>0</v>
      </c>
      <c r="V55" s="287">
        <v>0</v>
      </c>
      <c r="W55" s="287">
        <v>40.069000000000003</v>
      </c>
      <c r="X55" s="287">
        <v>61.637</v>
      </c>
      <c r="Y55" s="286">
        <v>177995103.34885001</v>
      </c>
      <c r="Z55" s="285" t="s">
        <v>633</v>
      </c>
    </row>
    <row r="56" spans="1:26" x14ac:dyDescent="0.25">
      <c r="A56" s="288" t="s">
        <v>191</v>
      </c>
      <c r="B56" s="285" t="s">
        <v>181</v>
      </c>
      <c r="C56" s="285" t="s">
        <v>758</v>
      </c>
      <c r="D56" s="286">
        <v>535684470</v>
      </c>
      <c r="E56" s="286">
        <v>0</v>
      </c>
      <c r="F56" s="286">
        <v>535684470</v>
      </c>
      <c r="G56" s="286">
        <v>23835.360000000001</v>
      </c>
      <c r="H56" s="287">
        <v>27</v>
      </c>
      <c r="I56" s="287">
        <v>0</v>
      </c>
      <c r="J56" s="287">
        <v>27</v>
      </c>
      <c r="K56" s="287">
        <v>0</v>
      </c>
      <c r="L56" s="287">
        <v>0</v>
      </c>
      <c r="M56" s="287">
        <v>0</v>
      </c>
      <c r="N56" s="287">
        <v>0</v>
      </c>
      <c r="O56" s="287">
        <v>17.355</v>
      </c>
      <c r="P56" s="287">
        <v>4.4999999999999998E-2</v>
      </c>
      <c r="Q56" s="287">
        <v>44.4</v>
      </c>
      <c r="R56" s="287">
        <v>10.6</v>
      </c>
      <c r="S56" s="287">
        <v>0</v>
      </c>
      <c r="T56" s="287">
        <v>0</v>
      </c>
      <c r="U56" s="287">
        <v>0</v>
      </c>
      <c r="V56" s="287">
        <v>0</v>
      </c>
      <c r="W56" s="287">
        <v>55</v>
      </c>
      <c r="X56" s="287">
        <v>63.027000000000001</v>
      </c>
      <c r="Y56" s="286">
        <v>20287165.717799999</v>
      </c>
      <c r="Z56" s="285" t="s">
        <v>633</v>
      </c>
    </row>
    <row r="57" spans="1:26" x14ac:dyDescent="0.25">
      <c r="A57" s="288" t="s">
        <v>193</v>
      </c>
      <c r="B57" s="285" t="s">
        <v>181</v>
      </c>
      <c r="C57" s="285" t="s">
        <v>757</v>
      </c>
      <c r="D57" s="286">
        <v>185536830</v>
      </c>
      <c r="E57" s="286">
        <v>2613580</v>
      </c>
      <c r="F57" s="286">
        <v>182923250</v>
      </c>
      <c r="G57" s="286">
        <v>39586.47</v>
      </c>
      <c r="H57" s="287">
        <v>27</v>
      </c>
      <c r="I57" s="287">
        <v>1.1839999999999999</v>
      </c>
      <c r="J57" s="287">
        <v>25.815999999999999</v>
      </c>
      <c r="K57" s="287">
        <v>0</v>
      </c>
      <c r="L57" s="287">
        <v>0</v>
      </c>
      <c r="M57" s="287">
        <v>0</v>
      </c>
      <c r="N57" s="287">
        <v>0</v>
      </c>
      <c r="O57" s="287">
        <v>23.175999999999998</v>
      </c>
      <c r="P57" s="287">
        <v>0.216</v>
      </c>
      <c r="Q57" s="287">
        <v>49.207999999999998</v>
      </c>
      <c r="R57" s="287">
        <v>0</v>
      </c>
      <c r="S57" s="287">
        <v>0</v>
      </c>
      <c r="T57" s="287">
        <v>0</v>
      </c>
      <c r="U57" s="287">
        <v>0</v>
      </c>
      <c r="V57" s="287">
        <v>0</v>
      </c>
      <c r="W57" s="287">
        <v>49.207999999999998</v>
      </c>
      <c r="X57" s="287">
        <v>70.730999999999995</v>
      </c>
      <c r="Y57" s="286">
        <v>8758106.1612999998</v>
      </c>
      <c r="Z57" s="285" t="s">
        <v>633</v>
      </c>
    </row>
    <row r="58" spans="1:26" x14ac:dyDescent="0.25">
      <c r="A58" s="288" t="s">
        <v>195</v>
      </c>
      <c r="B58" s="285" t="s">
        <v>181</v>
      </c>
      <c r="C58" s="285" t="s">
        <v>756</v>
      </c>
      <c r="D58" s="286">
        <v>2811399640</v>
      </c>
      <c r="E58" s="286">
        <v>47166200</v>
      </c>
      <c r="F58" s="286">
        <v>2764233440</v>
      </c>
      <c r="G58" s="286">
        <v>1886059.97</v>
      </c>
      <c r="H58" s="287">
        <v>27</v>
      </c>
      <c r="I58" s="287">
        <v>0</v>
      </c>
      <c r="J58" s="287">
        <v>27</v>
      </c>
      <c r="K58" s="287">
        <v>0</v>
      </c>
      <c r="L58" s="287">
        <v>0</v>
      </c>
      <c r="M58" s="287">
        <v>0</v>
      </c>
      <c r="N58" s="287">
        <v>0</v>
      </c>
      <c r="O58" s="287">
        <v>9.6760000000000002</v>
      </c>
      <c r="P58" s="287">
        <v>0.67900000000000005</v>
      </c>
      <c r="Q58" s="287">
        <v>37.354999999999997</v>
      </c>
      <c r="R58" s="287">
        <v>10.512</v>
      </c>
      <c r="S58" s="287">
        <v>0</v>
      </c>
      <c r="T58" s="287">
        <v>0</v>
      </c>
      <c r="U58" s="287">
        <v>0</v>
      </c>
      <c r="V58" s="287">
        <v>0</v>
      </c>
      <c r="W58" s="287">
        <v>47.866999999999997</v>
      </c>
      <c r="X58" s="287">
        <v>87.867999999999995</v>
      </c>
      <c r="Y58" s="286">
        <v>176117566.39379999</v>
      </c>
      <c r="Z58" s="285" t="s">
        <v>633</v>
      </c>
    </row>
    <row r="59" spans="1:26" x14ac:dyDescent="0.25">
      <c r="A59" s="288" t="s">
        <v>197</v>
      </c>
      <c r="B59" s="285" t="s">
        <v>181</v>
      </c>
      <c r="C59" s="285" t="s">
        <v>755</v>
      </c>
      <c r="D59" s="286">
        <v>60675680</v>
      </c>
      <c r="E59" s="286">
        <v>0</v>
      </c>
      <c r="F59" s="286">
        <v>60675680</v>
      </c>
      <c r="G59" s="286">
        <v>215.54</v>
      </c>
      <c r="H59" s="287">
        <v>27</v>
      </c>
      <c r="I59" s="287">
        <v>0</v>
      </c>
      <c r="J59" s="287">
        <v>27</v>
      </c>
      <c r="K59" s="287">
        <v>0</v>
      </c>
      <c r="L59" s="287">
        <v>0</v>
      </c>
      <c r="M59" s="287">
        <v>0</v>
      </c>
      <c r="N59" s="287">
        <v>0</v>
      </c>
      <c r="O59" s="287">
        <v>0</v>
      </c>
      <c r="P59" s="287">
        <v>0</v>
      </c>
      <c r="Q59" s="287">
        <v>27</v>
      </c>
      <c r="R59" s="287">
        <v>0</v>
      </c>
      <c r="S59" s="287">
        <v>0</v>
      </c>
      <c r="T59" s="287">
        <v>0</v>
      </c>
      <c r="U59" s="287">
        <v>0</v>
      </c>
      <c r="V59" s="287">
        <v>0</v>
      </c>
      <c r="W59" s="287">
        <v>27</v>
      </c>
      <c r="X59" s="287">
        <v>170.589</v>
      </c>
      <c r="Y59" s="286">
        <v>9135241.9892999995</v>
      </c>
      <c r="Z59" s="285" t="s">
        <v>633</v>
      </c>
    </row>
    <row r="60" spans="1:26" x14ac:dyDescent="0.25">
      <c r="A60" s="288" t="s">
        <v>199</v>
      </c>
      <c r="B60" s="285" t="s">
        <v>181</v>
      </c>
      <c r="C60" s="285" t="s">
        <v>754</v>
      </c>
      <c r="D60" s="286">
        <v>74566440</v>
      </c>
      <c r="E60" s="286">
        <v>0</v>
      </c>
      <c r="F60" s="286">
        <v>74566440</v>
      </c>
      <c r="G60" s="286">
        <v>0</v>
      </c>
      <c r="H60" s="287">
        <v>27</v>
      </c>
      <c r="I60" s="287">
        <v>2.581</v>
      </c>
      <c r="J60" s="287">
        <v>24.419</v>
      </c>
      <c r="K60" s="287">
        <v>0</v>
      </c>
      <c r="L60" s="287">
        <v>0</v>
      </c>
      <c r="M60" s="287">
        <v>0</v>
      </c>
      <c r="N60" s="287">
        <v>0</v>
      </c>
      <c r="O60" s="287">
        <v>0</v>
      </c>
      <c r="P60" s="287">
        <v>0</v>
      </c>
      <c r="Q60" s="287">
        <v>0</v>
      </c>
      <c r="R60" s="287">
        <v>0</v>
      </c>
      <c r="S60" s="287">
        <v>0</v>
      </c>
      <c r="T60" s="287">
        <v>0</v>
      </c>
      <c r="U60" s="287">
        <v>0</v>
      </c>
      <c r="V60" s="287">
        <v>0</v>
      </c>
      <c r="W60" s="287">
        <v>24.419</v>
      </c>
      <c r="X60" s="287">
        <v>90.34</v>
      </c>
      <c r="Y60" s="286">
        <v>5191890.1864999998</v>
      </c>
      <c r="Z60" s="285" t="s">
        <v>633</v>
      </c>
    </row>
    <row r="61" spans="1:26" x14ac:dyDescent="0.25">
      <c r="A61" s="288" t="s">
        <v>201</v>
      </c>
      <c r="B61" s="285" t="s">
        <v>181</v>
      </c>
      <c r="C61" s="285" t="s">
        <v>753</v>
      </c>
      <c r="D61" s="286">
        <v>53617430</v>
      </c>
      <c r="E61" s="286">
        <v>0</v>
      </c>
      <c r="F61" s="286">
        <v>53617430</v>
      </c>
      <c r="G61" s="286">
        <v>138922.21</v>
      </c>
      <c r="H61" s="287">
        <v>26.128</v>
      </c>
      <c r="I61" s="287">
        <v>14.695</v>
      </c>
      <c r="J61" s="287">
        <v>11.433</v>
      </c>
      <c r="K61" s="287">
        <v>0</v>
      </c>
      <c r="L61" s="287">
        <v>0</v>
      </c>
      <c r="M61" s="287">
        <v>0</v>
      </c>
      <c r="N61" s="287">
        <v>0</v>
      </c>
      <c r="O61" s="287">
        <v>0</v>
      </c>
      <c r="P61" s="287">
        <v>2.5910000000000002</v>
      </c>
      <c r="Q61" s="287">
        <v>14.023999999999999</v>
      </c>
      <c r="R61" s="287">
        <v>17.5</v>
      </c>
      <c r="S61" s="287">
        <v>0</v>
      </c>
      <c r="T61" s="287">
        <v>0</v>
      </c>
      <c r="U61" s="287">
        <v>0</v>
      </c>
      <c r="V61" s="287">
        <v>0</v>
      </c>
      <c r="W61" s="287">
        <v>31.524000000000001</v>
      </c>
      <c r="X61" s="287">
        <v>77.001000000000005</v>
      </c>
      <c r="Y61" s="286">
        <v>3581274.2685699998</v>
      </c>
      <c r="Z61" s="285" t="s">
        <v>633</v>
      </c>
    </row>
    <row r="62" spans="1:26" x14ac:dyDescent="0.25">
      <c r="A62" s="288" t="s">
        <v>203</v>
      </c>
      <c r="B62" s="285" t="s">
        <v>181</v>
      </c>
      <c r="C62" s="285" t="s">
        <v>752</v>
      </c>
      <c r="D62" s="286">
        <v>916053740</v>
      </c>
      <c r="E62" s="286">
        <v>0</v>
      </c>
      <c r="F62" s="286">
        <v>916053740</v>
      </c>
      <c r="G62" s="286">
        <v>23183.8</v>
      </c>
      <c r="H62" s="287">
        <v>27</v>
      </c>
      <c r="I62" s="287">
        <v>0.83599999999999997</v>
      </c>
      <c r="J62" s="287">
        <v>26.164000000000001</v>
      </c>
      <c r="K62" s="287">
        <v>0</v>
      </c>
      <c r="L62" s="287">
        <v>0</v>
      </c>
      <c r="M62" s="287">
        <v>0</v>
      </c>
      <c r="N62" s="287">
        <v>0</v>
      </c>
      <c r="O62" s="287">
        <v>4.3659999999999997</v>
      </c>
      <c r="P62" s="287">
        <v>2.1999999999999999E-2</v>
      </c>
      <c r="Q62" s="287">
        <v>30.552</v>
      </c>
      <c r="R62" s="287">
        <v>6.9480000000000004</v>
      </c>
      <c r="S62" s="287">
        <v>0</v>
      </c>
      <c r="T62" s="287">
        <v>0</v>
      </c>
      <c r="U62" s="287">
        <v>0</v>
      </c>
      <c r="V62" s="287">
        <v>0</v>
      </c>
      <c r="W62" s="287">
        <v>37.5</v>
      </c>
      <c r="X62" s="287">
        <v>65.173000000000002</v>
      </c>
      <c r="Y62" s="286">
        <v>37608702.445119999</v>
      </c>
      <c r="Z62" s="285" t="s">
        <v>633</v>
      </c>
    </row>
    <row r="63" spans="1:26" x14ac:dyDescent="0.25">
      <c r="A63" s="288" t="s">
        <v>205</v>
      </c>
      <c r="B63" s="285" t="s">
        <v>181</v>
      </c>
      <c r="C63" s="285" t="s">
        <v>751</v>
      </c>
      <c r="D63" s="286">
        <v>1665259940</v>
      </c>
      <c r="E63" s="286">
        <v>0</v>
      </c>
      <c r="F63" s="286">
        <v>1665259940</v>
      </c>
      <c r="G63" s="286">
        <v>128394</v>
      </c>
      <c r="H63" s="287">
        <v>27</v>
      </c>
      <c r="I63" s="287">
        <v>0</v>
      </c>
      <c r="J63" s="287">
        <v>27</v>
      </c>
      <c r="K63" s="287">
        <v>0</v>
      </c>
      <c r="L63" s="287">
        <v>0</v>
      </c>
      <c r="M63" s="287">
        <v>0</v>
      </c>
      <c r="N63" s="287">
        <v>0</v>
      </c>
      <c r="O63" s="287">
        <v>18.5</v>
      </c>
      <c r="P63" s="287">
        <v>7.6999999999999999E-2</v>
      </c>
      <c r="Q63" s="287">
        <v>45.576999999999998</v>
      </c>
      <c r="R63" s="287">
        <v>0</v>
      </c>
      <c r="S63" s="287">
        <v>0</v>
      </c>
      <c r="T63" s="287">
        <v>0</v>
      </c>
      <c r="U63" s="287">
        <v>0</v>
      </c>
      <c r="V63" s="287">
        <v>0</v>
      </c>
      <c r="W63" s="287">
        <v>45.576999999999998</v>
      </c>
      <c r="X63" s="287">
        <v>166.73099999999999</v>
      </c>
      <c r="Y63" s="286">
        <v>249719508.07449999</v>
      </c>
      <c r="Z63" s="285" t="s">
        <v>633</v>
      </c>
    </row>
    <row r="64" spans="1:26" x14ac:dyDescent="0.25">
      <c r="A64" s="288" t="s">
        <v>207</v>
      </c>
      <c r="B64" s="285" t="s">
        <v>181</v>
      </c>
      <c r="C64" s="285" t="s">
        <v>750</v>
      </c>
      <c r="D64" s="286">
        <v>7678008</v>
      </c>
      <c r="E64" s="286">
        <v>0</v>
      </c>
      <c r="F64" s="286">
        <v>7678008</v>
      </c>
      <c r="G64" s="286">
        <v>1152.93</v>
      </c>
      <c r="H64" s="287">
        <v>27</v>
      </c>
      <c r="I64" s="287">
        <v>0</v>
      </c>
      <c r="J64" s="287">
        <v>27</v>
      </c>
      <c r="K64" s="287">
        <v>0</v>
      </c>
      <c r="L64" s="287">
        <v>0</v>
      </c>
      <c r="M64" s="287">
        <v>0</v>
      </c>
      <c r="N64" s="287">
        <v>0</v>
      </c>
      <c r="O64" s="287">
        <v>0</v>
      </c>
      <c r="P64" s="287">
        <v>0</v>
      </c>
      <c r="Q64" s="287">
        <v>27</v>
      </c>
      <c r="R64" s="287">
        <v>0</v>
      </c>
      <c r="S64" s="287">
        <v>0</v>
      </c>
      <c r="T64" s="287">
        <v>0</v>
      </c>
      <c r="U64" s="287">
        <v>0</v>
      </c>
      <c r="V64" s="287">
        <v>0</v>
      </c>
      <c r="W64" s="287">
        <v>27</v>
      </c>
      <c r="X64" s="287">
        <v>315.25900000000001</v>
      </c>
      <c r="Y64" s="286">
        <v>2323741.4087999999</v>
      </c>
      <c r="Z64" s="285" t="s">
        <v>633</v>
      </c>
    </row>
    <row r="65" spans="1:26" x14ac:dyDescent="0.25">
      <c r="A65" s="288" t="s">
        <v>209</v>
      </c>
      <c r="B65" s="285" t="s">
        <v>181</v>
      </c>
      <c r="C65" s="285" t="s">
        <v>749</v>
      </c>
      <c r="D65" s="286">
        <v>41063028</v>
      </c>
      <c r="E65" s="286">
        <v>0</v>
      </c>
      <c r="F65" s="286">
        <v>41063028</v>
      </c>
      <c r="G65" s="286">
        <v>379.09</v>
      </c>
      <c r="H65" s="287">
        <v>27</v>
      </c>
      <c r="I65" s="287">
        <v>3.1659999999999999</v>
      </c>
      <c r="J65" s="287">
        <v>23.834</v>
      </c>
      <c r="K65" s="287">
        <v>0</v>
      </c>
      <c r="L65" s="287">
        <v>0</v>
      </c>
      <c r="M65" s="287">
        <v>0.98799999999999999</v>
      </c>
      <c r="N65" s="287">
        <v>0</v>
      </c>
      <c r="O65" s="287">
        <v>0</v>
      </c>
      <c r="P65" s="287">
        <v>8.9999999999999993E-3</v>
      </c>
      <c r="Q65" s="287">
        <v>24.831</v>
      </c>
      <c r="R65" s="287">
        <v>3.8450000000000002</v>
      </c>
      <c r="S65" s="287">
        <v>0</v>
      </c>
      <c r="T65" s="287">
        <v>0</v>
      </c>
      <c r="U65" s="287">
        <v>0</v>
      </c>
      <c r="V65" s="287">
        <v>0</v>
      </c>
      <c r="W65" s="287">
        <v>28.675999999999998</v>
      </c>
      <c r="X65" s="287">
        <v>104.01300000000001</v>
      </c>
      <c r="Y65" s="286">
        <v>3433834.1910199998</v>
      </c>
      <c r="Z65" s="285" t="s">
        <v>633</v>
      </c>
    </row>
    <row r="66" spans="1:26" x14ac:dyDescent="0.25">
      <c r="A66" s="288" t="s">
        <v>211</v>
      </c>
      <c r="B66" s="285" t="s">
        <v>212</v>
      </c>
      <c r="C66" s="285" t="s">
        <v>748</v>
      </c>
      <c r="D66" s="286">
        <v>331418736</v>
      </c>
      <c r="E66" s="286">
        <v>1824853</v>
      </c>
      <c r="F66" s="286">
        <v>329593883</v>
      </c>
      <c r="G66" s="286">
        <v>32048.34</v>
      </c>
      <c r="H66" s="287">
        <v>27</v>
      </c>
      <c r="I66" s="287">
        <v>0</v>
      </c>
      <c r="J66" s="287">
        <v>27</v>
      </c>
      <c r="K66" s="287">
        <v>0</v>
      </c>
      <c r="L66" s="287">
        <v>0</v>
      </c>
      <c r="M66" s="287">
        <v>0</v>
      </c>
      <c r="N66" s="287">
        <v>0</v>
      </c>
      <c r="O66" s="287">
        <v>4.202</v>
      </c>
      <c r="P66" s="287">
        <v>9.7000000000000003E-2</v>
      </c>
      <c r="Q66" s="287">
        <v>31.298999999999999</v>
      </c>
      <c r="R66" s="287">
        <v>11.680999999999999</v>
      </c>
      <c r="S66" s="287">
        <v>0</v>
      </c>
      <c r="T66" s="287">
        <v>0</v>
      </c>
      <c r="U66" s="287">
        <v>0</v>
      </c>
      <c r="V66" s="287">
        <v>0</v>
      </c>
      <c r="W66" s="287">
        <v>42.98</v>
      </c>
      <c r="X66" s="287">
        <v>91.67</v>
      </c>
      <c r="Y66" s="286">
        <v>23211503.266899999</v>
      </c>
      <c r="Z66" s="285" t="s">
        <v>633</v>
      </c>
    </row>
    <row r="67" spans="1:26" x14ac:dyDescent="0.25">
      <c r="A67" s="288" t="s">
        <v>214</v>
      </c>
      <c r="B67" s="285" t="s">
        <v>212</v>
      </c>
      <c r="C67" s="285" t="s">
        <v>747</v>
      </c>
      <c r="D67" s="286">
        <v>185269010</v>
      </c>
      <c r="E67" s="286">
        <v>0</v>
      </c>
      <c r="F67" s="286">
        <v>185269010</v>
      </c>
      <c r="G67" s="286">
        <v>5778.29</v>
      </c>
      <c r="H67" s="287">
        <v>27</v>
      </c>
      <c r="I67" s="287">
        <v>8.7970000000000006</v>
      </c>
      <c r="J67" s="287">
        <v>18.202999999999999</v>
      </c>
      <c r="K67" s="287">
        <v>0</v>
      </c>
      <c r="L67" s="287">
        <v>0</v>
      </c>
      <c r="M67" s="287">
        <v>0</v>
      </c>
      <c r="N67" s="287">
        <v>0</v>
      </c>
      <c r="O67" s="287">
        <v>1.889</v>
      </c>
      <c r="P67" s="287">
        <v>3.1E-2</v>
      </c>
      <c r="Q67" s="287">
        <v>20.123000000000001</v>
      </c>
      <c r="R67" s="287">
        <v>10.189</v>
      </c>
      <c r="S67" s="287">
        <v>0</v>
      </c>
      <c r="T67" s="287">
        <v>0</v>
      </c>
      <c r="U67" s="287">
        <v>0</v>
      </c>
      <c r="V67" s="287">
        <v>0</v>
      </c>
      <c r="W67" s="287">
        <v>30.312000000000001</v>
      </c>
      <c r="X67" s="287">
        <v>68.623999999999995</v>
      </c>
      <c r="Y67" s="286">
        <v>9979448.9897329994</v>
      </c>
      <c r="Z67" s="285" t="s">
        <v>633</v>
      </c>
    </row>
    <row r="68" spans="1:26" x14ac:dyDescent="0.25">
      <c r="A68" s="288" t="s">
        <v>216</v>
      </c>
      <c r="B68" s="285" t="s">
        <v>212</v>
      </c>
      <c r="C68" s="285" t="s">
        <v>746</v>
      </c>
      <c r="D68" s="286">
        <v>89570320</v>
      </c>
      <c r="E68" s="286">
        <v>0</v>
      </c>
      <c r="F68" s="286">
        <v>89570320</v>
      </c>
      <c r="G68" s="286">
        <v>143.1</v>
      </c>
      <c r="H68" s="287">
        <v>27</v>
      </c>
      <c r="I68" s="287">
        <v>2.298</v>
      </c>
      <c r="J68" s="287">
        <v>24.702000000000002</v>
      </c>
      <c r="K68" s="287">
        <v>0</v>
      </c>
      <c r="L68" s="287">
        <v>0</v>
      </c>
      <c r="M68" s="287">
        <v>0</v>
      </c>
      <c r="N68" s="287">
        <v>0</v>
      </c>
      <c r="O68" s="287">
        <v>2</v>
      </c>
      <c r="P68" s="287">
        <v>1E-3</v>
      </c>
      <c r="Q68" s="287">
        <v>26.702999999999999</v>
      </c>
      <c r="R68" s="287">
        <v>0</v>
      </c>
      <c r="S68" s="287">
        <v>0</v>
      </c>
      <c r="T68" s="287">
        <v>0</v>
      </c>
      <c r="U68" s="287">
        <v>0</v>
      </c>
      <c r="V68" s="287">
        <v>0</v>
      </c>
      <c r="W68" s="287">
        <v>26.702999999999999</v>
      </c>
      <c r="X68" s="287">
        <v>33.404000000000003</v>
      </c>
      <c r="Y68" s="286">
        <v>833796.95302999998</v>
      </c>
      <c r="Z68" s="285" t="s">
        <v>633</v>
      </c>
    </row>
    <row r="69" spans="1:26" x14ac:dyDescent="0.25">
      <c r="A69" s="288" t="s">
        <v>218</v>
      </c>
      <c r="B69" s="285" t="s">
        <v>219</v>
      </c>
      <c r="C69" s="285" t="s">
        <v>745</v>
      </c>
      <c r="D69" s="286">
        <v>1829767800</v>
      </c>
      <c r="E69" s="286">
        <v>1461470</v>
      </c>
      <c r="F69" s="286">
        <v>1828306330</v>
      </c>
      <c r="G69" s="286">
        <v>100685</v>
      </c>
      <c r="H69" s="287">
        <v>27</v>
      </c>
      <c r="I69" s="287">
        <v>2.2410000000000001</v>
      </c>
      <c r="J69" s="287">
        <v>24.759</v>
      </c>
      <c r="K69" s="287">
        <v>0</v>
      </c>
      <c r="L69" s="287">
        <v>0</v>
      </c>
      <c r="M69" s="287">
        <v>0</v>
      </c>
      <c r="N69" s="287">
        <v>0</v>
      </c>
      <c r="O69" s="287">
        <v>9.3230000000000004</v>
      </c>
      <c r="P69" s="287">
        <v>5.5E-2</v>
      </c>
      <c r="Q69" s="287">
        <v>34.137</v>
      </c>
      <c r="R69" s="287">
        <v>7.66</v>
      </c>
      <c r="S69" s="287">
        <v>0</v>
      </c>
      <c r="T69" s="287">
        <v>0</v>
      </c>
      <c r="U69" s="287">
        <v>0</v>
      </c>
      <c r="V69" s="287">
        <v>0</v>
      </c>
      <c r="W69" s="287">
        <v>41.796999999999997</v>
      </c>
      <c r="X69" s="287">
        <v>33.987000000000002</v>
      </c>
      <c r="Y69" s="286">
        <v>17641585.830701001</v>
      </c>
      <c r="Z69" s="285" t="s">
        <v>633</v>
      </c>
    </row>
    <row r="70" spans="1:26" x14ac:dyDescent="0.25">
      <c r="A70" s="288" t="s">
        <v>221</v>
      </c>
      <c r="B70" s="285" t="s">
        <v>219</v>
      </c>
      <c r="C70" s="285" t="s">
        <v>744</v>
      </c>
      <c r="D70" s="286">
        <v>1344851270</v>
      </c>
      <c r="E70" s="286">
        <v>2298370</v>
      </c>
      <c r="F70" s="286">
        <v>1342552900</v>
      </c>
      <c r="G70" s="286">
        <v>27255.48</v>
      </c>
      <c r="H70" s="287">
        <v>16.282</v>
      </c>
      <c r="I70" s="287">
        <v>8.5820000000000007</v>
      </c>
      <c r="J70" s="287">
        <v>7.7</v>
      </c>
      <c r="K70" s="287">
        <v>0</v>
      </c>
      <c r="L70" s="287">
        <v>0</v>
      </c>
      <c r="M70" s="287">
        <v>0</v>
      </c>
      <c r="N70" s="287">
        <v>0</v>
      </c>
      <c r="O70" s="287">
        <v>6.8529999999999998</v>
      </c>
      <c r="P70" s="287">
        <v>0.02</v>
      </c>
      <c r="Q70" s="287">
        <v>14.573</v>
      </c>
      <c r="R70" s="287">
        <v>6.2830000000000004</v>
      </c>
      <c r="S70" s="287">
        <v>0</v>
      </c>
      <c r="T70" s="287">
        <v>0</v>
      </c>
      <c r="U70" s="287">
        <v>0</v>
      </c>
      <c r="V70" s="287">
        <v>0</v>
      </c>
      <c r="W70" s="287">
        <v>20.856000000000002</v>
      </c>
      <c r="X70" s="287">
        <v>34.317</v>
      </c>
      <c r="Y70" s="286">
        <v>36460431.829099998</v>
      </c>
      <c r="Z70" s="285" t="s">
        <v>633</v>
      </c>
    </row>
    <row r="71" spans="1:26" x14ac:dyDescent="0.25">
      <c r="A71" s="288" t="s">
        <v>223</v>
      </c>
      <c r="B71" s="285" t="s">
        <v>219</v>
      </c>
      <c r="C71" s="285" t="s">
        <v>743</v>
      </c>
      <c r="D71" s="286">
        <v>1246220490</v>
      </c>
      <c r="E71" s="286">
        <v>0</v>
      </c>
      <c r="F71" s="286">
        <v>1246220490</v>
      </c>
      <c r="G71" s="286">
        <v>491</v>
      </c>
      <c r="H71" s="287">
        <v>4.3949999999999996</v>
      </c>
      <c r="I71" s="287">
        <v>0</v>
      </c>
      <c r="J71" s="287">
        <v>4.3949999999999996</v>
      </c>
      <c r="K71" s="287">
        <v>0</v>
      </c>
      <c r="L71" s="287">
        <v>0</v>
      </c>
      <c r="M71" s="287">
        <v>0</v>
      </c>
      <c r="N71" s="287">
        <v>0</v>
      </c>
      <c r="O71" s="287">
        <v>1.7390000000000001</v>
      </c>
      <c r="P71" s="287">
        <v>0</v>
      </c>
      <c r="Q71" s="287">
        <v>6.1340000000000003</v>
      </c>
      <c r="R71" s="287">
        <v>4.34</v>
      </c>
      <c r="S71" s="287">
        <v>0</v>
      </c>
      <c r="T71" s="287">
        <v>0</v>
      </c>
      <c r="U71" s="287">
        <v>0</v>
      </c>
      <c r="V71" s="287">
        <v>0</v>
      </c>
      <c r="W71" s="287">
        <v>10.474</v>
      </c>
      <c r="X71" s="287">
        <v>10.247999999999999</v>
      </c>
      <c r="Y71" s="286">
        <v>7325147.4520500004</v>
      </c>
      <c r="Z71" s="285" t="s">
        <v>633</v>
      </c>
    </row>
    <row r="72" spans="1:26" x14ac:dyDescent="0.25">
      <c r="A72" s="288" t="s">
        <v>225</v>
      </c>
      <c r="B72" s="285" t="s">
        <v>226</v>
      </c>
      <c r="C72" s="285" t="s">
        <v>742</v>
      </c>
      <c r="D72" s="286">
        <v>462134910</v>
      </c>
      <c r="E72" s="286">
        <v>0</v>
      </c>
      <c r="F72" s="286">
        <v>462134910</v>
      </c>
      <c r="G72" s="286">
        <v>73.790000000000006</v>
      </c>
      <c r="H72" s="287">
        <v>6.6509999999999998</v>
      </c>
      <c r="I72" s="287">
        <v>0</v>
      </c>
      <c r="J72" s="287">
        <v>6.6509999999999998</v>
      </c>
      <c r="K72" s="287">
        <v>0</v>
      </c>
      <c r="L72" s="287">
        <v>0</v>
      </c>
      <c r="M72" s="287">
        <v>0</v>
      </c>
      <c r="N72" s="287">
        <v>0</v>
      </c>
      <c r="O72" s="287">
        <v>2.464</v>
      </c>
      <c r="P72" s="287">
        <v>0</v>
      </c>
      <c r="Q72" s="287">
        <v>9.1150000000000002</v>
      </c>
      <c r="R72" s="287">
        <v>0</v>
      </c>
      <c r="S72" s="287">
        <v>0.36199999999999999</v>
      </c>
      <c r="T72" s="287">
        <v>0</v>
      </c>
      <c r="U72" s="287">
        <v>0</v>
      </c>
      <c r="V72" s="287">
        <v>0</v>
      </c>
      <c r="W72" s="287">
        <v>9.4770000000000003</v>
      </c>
      <c r="X72" s="287">
        <v>11.227</v>
      </c>
      <c r="Y72" s="286">
        <v>2137504.9468669998</v>
      </c>
      <c r="Z72" s="285" t="s">
        <v>633</v>
      </c>
    </row>
    <row r="73" spans="1:26" x14ac:dyDescent="0.25">
      <c r="A73" s="288" t="s">
        <v>227</v>
      </c>
      <c r="B73" s="285" t="s">
        <v>228</v>
      </c>
      <c r="C73" s="285" t="s">
        <v>741</v>
      </c>
      <c r="D73" s="286">
        <v>156244360</v>
      </c>
      <c r="E73" s="286">
        <v>0</v>
      </c>
      <c r="F73" s="286">
        <v>156244360</v>
      </c>
      <c r="G73" s="286">
        <v>18243</v>
      </c>
      <c r="H73" s="287">
        <v>13.811</v>
      </c>
      <c r="I73" s="287">
        <v>0</v>
      </c>
      <c r="J73" s="287">
        <v>13.811</v>
      </c>
      <c r="K73" s="287">
        <v>0</v>
      </c>
      <c r="L73" s="287">
        <v>0</v>
      </c>
      <c r="M73" s="287">
        <v>0</v>
      </c>
      <c r="N73" s="287">
        <v>0</v>
      </c>
      <c r="O73" s="287">
        <v>7.05</v>
      </c>
      <c r="P73" s="287">
        <v>0.12</v>
      </c>
      <c r="Q73" s="287">
        <v>20.981000000000002</v>
      </c>
      <c r="R73" s="287">
        <v>5.85</v>
      </c>
      <c r="S73" s="287">
        <v>0</v>
      </c>
      <c r="T73" s="287">
        <v>0</v>
      </c>
      <c r="U73" s="287">
        <v>0</v>
      </c>
      <c r="V73" s="287">
        <v>0</v>
      </c>
      <c r="W73" s="287">
        <v>26.831</v>
      </c>
      <c r="X73" s="287">
        <v>32.755000000000003</v>
      </c>
      <c r="Y73" s="286">
        <v>3078623.16659</v>
      </c>
      <c r="Z73" s="285" t="s">
        <v>633</v>
      </c>
    </row>
    <row r="74" spans="1:26" x14ac:dyDescent="0.25">
      <c r="A74" s="288" t="s">
        <v>230</v>
      </c>
      <c r="B74" s="285" t="s">
        <v>228</v>
      </c>
      <c r="C74" s="285" t="s">
        <v>740</v>
      </c>
      <c r="D74" s="286">
        <v>1273662280</v>
      </c>
      <c r="E74" s="286">
        <v>0</v>
      </c>
      <c r="F74" s="286">
        <v>1273662280</v>
      </c>
      <c r="G74" s="286">
        <v>15483.81</v>
      </c>
      <c r="H74" s="287">
        <v>12.776999999999999</v>
      </c>
      <c r="I74" s="287">
        <v>0</v>
      </c>
      <c r="J74" s="287">
        <v>12.776999999999999</v>
      </c>
      <c r="K74" s="287">
        <v>0</v>
      </c>
      <c r="L74" s="287">
        <v>0</v>
      </c>
      <c r="M74" s="287">
        <v>0.61599999999999999</v>
      </c>
      <c r="N74" s="287">
        <v>0</v>
      </c>
      <c r="O74" s="287">
        <v>1.8129999999999999</v>
      </c>
      <c r="P74" s="287">
        <v>1.2E-2</v>
      </c>
      <c r="Q74" s="287">
        <v>15.218</v>
      </c>
      <c r="R74" s="287">
        <v>5.0720000000000001</v>
      </c>
      <c r="S74" s="287">
        <v>0.23599999999999999</v>
      </c>
      <c r="T74" s="287">
        <v>0</v>
      </c>
      <c r="U74" s="287">
        <v>0</v>
      </c>
      <c r="V74" s="287">
        <v>0</v>
      </c>
      <c r="W74" s="287">
        <v>20.526</v>
      </c>
      <c r="X74" s="287">
        <v>9.6159999999999997</v>
      </c>
      <c r="Y74" s="286">
        <v>20.194561712909501</v>
      </c>
      <c r="Z74" s="285" t="s">
        <v>633</v>
      </c>
    </row>
    <row r="75" spans="1:26" x14ac:dyDescent="0.25">
      <c r="A75" s="288" t="s">
        <v>232</v>
      </c>
      <c r="B75" s="285" t="s">
        <v>233</v>
      </c>
      <c r="C75" s="285" t="s">
        <v>739</v>
      </c>
      <c r="D75" s="286">
        <v>1083514765</v>
      </c>
      <c r="E75" s="286">
        <v>19612860</v>
      </c>
      <c r="F75" s="286">
        <v>1063901905</v>
      </c>
      <c r="G75" s="286">
        <v>52482</v>
      </c>
      <c r="H75" s="287">
        <v>15.736000000000001</v>
      </c>
      <c r="I75" s="287">
        <v>0</v>
      </c>
      <c r="J75" s="287">
        <v>15.736000000000001</v>
      </c>
      <c r="K75" s="287">
        <v>0</v>
      </c>
      <c r="L75" s="287">
        <v>0</v>
      </c>
      <c r="M75" s="287">
        <v>0</v>
      </c>
      <c r="N75" s="287">
        <v>0</v>
      </c>
      <c r="O75" s="287">
        <v>3.57</v>
      </c>
      <c r="P75" s="287">
        <v>4.9000000000000002E-2</v>
      </c>
      <c r="Q75" s="287">
        <v>19.355</v>
      </c>
      <c r="R75" s="287">
        <v>8.8350000000000009</v>
      </c>
      <c r="S75" s="287">
        <v>0</v>
      </c>
      <c r="T75" s="287">
        <v>0</v>
      </c>
      <c r="U75" s="287">
        <v>0</v>
      </c>
      <c r="V75" s="287">
        <v>0</v>
      </c>
      <c r="W75" s="287">
        <v>28.19</v>
      </c>
      <c r="X75" s="287">
        <v>18.443999999999999</v>
      </c>
      <c r="Y75" s="286">
        <v>2990779.4184320001</v>
      </c>
      <c r="Z75" s="285" t="s">
        <v>633</v>
      </c>
    </row>
    <row r="76" spans="1:26" x14ac:dyDescent="0.25">
      <c r="A76" s="288" t="s">
        <v>234</v>
      </c>
      <c r="B76" s="285" t="s">
        <v>235</v>
      </c>
      <c r="C76" s="285" t="s">
        <v>738</v>
      </c>
      <c r="D76" s="286">
        <v>55639740</v>
      </c>
      <c r="E76" s="286">
        <v>0</v>
      </c>
      <c r="F76" s="286">
        <v>55639740</v>
      </c>
      <c r="G76" s="286">
        <v>44401.43</v>
      </c>
      <c r="H76" s="287">
        <v>19.067</v>
      </c>
      <c r="I76" s="287">
        <v>0</v>
      </c>
      <c r="J76" s="287">
        <v>19.067</v>
      </c>
      <c r="K76" s="287">
        <v>0</v>
      </c>
      <c r="L76" s="287">
        <v>0</v>
      </c>
      <c r="M76" s="287">
        <v>0</v>
      </c>
      <c r="N76" s="287">
        <v>0</v>
      </c>
      <c r="O76" s="287">
        <v>0</v>
      </c>
      <c r="P76" s="287">
        <v>0.79800000000000004</v>
      </c>
      <c r="Q76" s="287">
        <v>19.864999999999998</v>
      </c>
      <c r="R76" s="287">
        <v>5.3019999999999996</v>
      </c>
      <c r="S76" s="287">
        <v>0</v>
      </c>
      <c r="T76" s="287">
        <v>0</v>
      </c>
      <c r="U76" s="287">
        <v>0</v>
      </c>
      <c r="V76" s="287">
        <v>0</v>
      </c>
      <c r="W76" s="287">
        <v>25.167000000000002</v>
      </c>
      <c r="X76" s="287">
        <v>28.140999999999998</v>
      </c>
      <c r="Y76" s="286">
        <v>541097.00485000003</v>
      </c>
      <c r="Z76" s="285" t="s">
        <v>633</v>
      </c>
    </row>
    <row r="77" spans="1:26" x14ac:dyDescent="0.25">
      <c r="A77" s="288" t="s">
        <v>236</v>
      </c>
      <c r="B77" s="285" t="s">
        <v>237</v>
      </c>
      <c r="C77" s="285" t="s">
        <v>737</v>
      </c>
      <c r="D77" s="286">
        <v>121111027</v>
      </c>
      <c r="E77" s="286">
        <v>361073</v>
      </c>
      <c r="F77" s="286">
        <v>120749954</v>
      </c>
      <c r="G77" s="286">
        <v>4975.9799999999996</v>
      </c>
      <c r="H77" s="287">
        <v>27</v>
      </c>
      <c r="I77" s="287">
        <v>0.219</v>
      </c>
      <c r="J77" s="287">
        <v>26.780999999999999</v>
      </c>
      <c r="K77" s="287">
        <v>0</v>
      </c>
      <c r="L77" s="287">
        <v>0</v>
      </c>
      <c r="M77" s="287">
        <v>0</v>
      </c>
      <c r="N77" s="287">
        <v>0</v>
      </c>
      <c r="O77" s="287">
        <v>0</v>
      </c>
      <c r="P77" s="287">
        <v>4.1000000000000002E-2</v>
      </c>
      <c r="Q77" s="287">
        <v>26.821999999999999</v>
      </c>
      <c r="R77" s="287">
        <v>8.8699999999999992</v>
      </c>
      <c r="S77" s="287">
        <v>0</v>
      </c>
      <c r="T77" s="287">
        <v>0</v>
      </c>
      <c r="U77" s="287">
        <v>0</v>
      </c>
      <c r="V77" s="287">
        <v>0</v>
      </c>
      <c r="W77" s="287">
        <v>35.692</v>
      </c>
      <c r="X77" s="287">
        <v>41.325000000000003</v>
      </c>
      <c r="Y77" s="286">
        <v>1863348.076507</v>
      </c>
      <c r="Z77" s="285" t="s">
        <v>633</v>
      </c>
    </row>
    <row r="78" spans="1:26" x14ac:dyDescent="0.25">
      <c r="A78" s="288" t="s">
        <v>238</v>
      </c>
      <c r="B78" s="285" t="s">
        <v>237</v>
      </c>
      <c r="C78" s="285" t="s">
        <v>736</v>
      </c>
      <c r="D78" s="286">
        <v>35375681</v>
      </c>
      <c r="E78" s="286">
        <v>0</v>
      </c>
      <c r="F78" s="286">
        <v>35375681</v>
      </c>
      <c r="G78" s="286">
        <v>0</v>
      </c>
      <c r="H78" s="287">
        <v>27</v>
      </c>
      <c r="I78" s="287">
        <v>0</v>
      </c>
      <c r="J78" s="287">
        <v>27</v>
      </c>
      <c r="K78" s="287">
        <v>0</v>
      </c>
      <c r="L78" s="287">
        <v>0</v>
      </c>
      <c r="M78" s="287">
        <v>0</v>
      </c>
      <c r="N78" s="287">
        <v>0</v>
      </c>
      <c r="O78" s="287">
        <v>0</v>
      </c>
      <c r="P78" s="287">
        <v>0</v>
      </c>
      <c r="Q78" s="287">
        <v>27</v>
      </c>
      <c r="R78" s="287">
        <v>12.11</v>
      </c>
      <c r="S78" s="287">
        <v>0</v>
      </c>
      <c r="T78" s="287">
        <v>0</v>
      </c>
      <c r="U78" s="287">
        <v>0</v>
      </c>
      <c r="V78" s="287">
        <v>0</v>
      </c>
      <c r="W78" s="287">
        <v>39.11</v>
      </c>
      <c r="X78" s="287">
        <v>85.317999999999998</v>
      </c>
      <c r="Y78" s="286">
        <v>2308899.5663000001</v>
      </c>
      <c r="Z78" s="285" t="s">
        <v>633</v>
      </c>
    </row>
    <row r="79" spans="1:26" x14ac:dyDescent="0.25">
      <c r="A79" s="288" t="s">
        <v>240</v>
      </c>
      <c r="B79" s="285" t="s">
        <v>241</v>
      </c>
      <c r="C79" s="285" t="s">
        <v>735</v>
      </c>
      <c r="D79" s="286">
        <v>95163363</v>
      </c>
      <c r="E79" s="286">
        <v>0</v>
      </c>
      <c r="F79" s="286">
        <v>95163363</v>
      </c>
      <c r="G79" s="286">
        <v>5999.94</v>
      </c>
      <c r="H79" s="287">
        <v>23.041</v>
      </c>
      <c r="I79" s="287">
        <v>0</v>
      </c>
      <c r="J79" s="287">
        <v>23.041</v>
      </c>
      <c r="K79" s="287">
        <v>0</v>
      </c>
      <c r="L79" s="287">
        <v>0</v>
      </c>
      <c r="M79" s="287">
        <v>0</v>
      </c>
      <c r="N79" s="287">
        <v>0</v>
      </c>
      <c r="O79" s="287">
        <v>0</v>
      </c>
      <c r="P79" s="287">
        <v>6.2E-2</v>
      </c>
      <c r="Q79" s="287">
        <v>23.103000000000002</v>
      </c>
      <c r="R79" s="287">
        <v>0</v>
      </c>
      <c r="S79" s="287">
        <v>0</v>
      </c>
      <c r="T79" s="287">
        <v>0</v>
      </c>
      <c r="U79" s="287">
        <v>0</v>
      </c>
      <c r="V79" s="287">
        <v>0</v>
      </c>
      <c r="W79" s="287">
        <v>23.103000000000002</v>
      </c>
      <c r="X79" s="287">
        <v>28.21</v>
      </c>
      <c r="Y79" s="286">
        <v>505542.422853</v>
      </c>
      <c r="Z79" s="285" t="s">
        <v>633</v>
      </c>
    </row>
    <row r="80" spans="1:26" x14ac:dyDescent="0.25">
      <c r="A80" s="288" t="s">
        <v>243</v>
      </c>
      <c r="B80" s="285" t="s">
        <v>244</v>
      </c>
      <c r="C80" s="285" t="s">
        <v>734</v>
      </c>
      <c r="D80" s="286">
        <v>14134691021</v>
      </c>
      <c r="E80" s="286">
        <v>631656311</v>
      </c>
      <c r="F80" s="286">
        <v>13503034710</v>
      </c>
      <c r="G80" s="286">
        <v>4244355.55</v>
      </c>
      <c r="H80" s="287">
        <v>27</v>
      </c>
      <c r="I80" s="287">
        <v>0</v>
      </c>
      <c r="J80" s="287">
        <v>27</v>
      </c>
      <c r="K80" s="287">
        <v>0</v>
      </c>
      <c r="L80" s="287">
        <v>0</v>
      </c>
      <c r="M80" s="287">
        <v>0</v>
      </c>
      <c r="N80" s="287">
        <v>0</v>
      </c>
      <c r="O80" s="287">
        <v>11.305999999999999</v>
      </c>
      <c r="P80" s="287">
        <v>0.314</v>
      </c>
      <c r="Q80" s="287">
        <v>38.619999999999997</v>
      </c>
      <c r="R80" s="287">
        <v>5.9059999999999997</v>
      </c>
      <c r="S80" s="287">
        <v>0</v>
      </c>
      <c r="T80" s="287">
        <v>0</v>
      </c>
      <c r="U80" s="287">
        <v>0</v>
      </c>
      <c r="V80" s="287">
        <v>0</v>
      </c>
      <c r="W80" s="287">
        <v>44.526000000000003</v>
      </c>
      <c r="X80" s="287">
        <v>54.186999999999998</v>
      </c>
      <c r="Y80" s="286">
        <v>391303144.00190002</v>
      </c>
      <c r="Z80" s="285" t="s">
        <v>633</v>
      </c>
    </row>
    <row r="81" spans="1:26" x14ac:dyDescent="0.25">
      <c r="A81" s="288" t="s">
        <v>245</v>
      </c>
      <c r="B81" s="285" t="s">
        <v>174</v>
      </c>
      <c r="C81" s="285" t="s">
        <v>733</v>
      </c>
      <c r="D81" s="286">
        <v>20027980</v>
      </c>
      <c r="E81" s="286">
        <v>0</v>
      </c>
      <c r="F81" s="286">
        <v>20027980</v>
      </c>
      <c r="G81" s="286">
        <v>15805.29</v>
      </c>
      <c r="H81" s="287">
        <v>27</v>
      </c>
      <c r="I81" s="287">
        <v>1.8009999999999999</v>
      </c>
      <c r="J81" s="287">
        <v>25.199000000000002</v>
      </c>
      <c r="K81" s="287">
        <v>0</v>
      </c>
      <c r="L81" s="287">
        <v>0</v>
      </c>
      <c r="M81" s="287">
        <v>0</v>
      </c>
      <c r="N81" s="287">
        <v>0</v>
      </c>
      <c r="O81" s="287">
        <v>0</v>
      </c>
      <c r="P81" s="287">
        <v>0.78900000000000003</v>
      </c>
      <c r="Q81" s="287">
        <v>25.988</v>
      </c>
      <c r="R81" s="287">
        <v>0</v>
      </c>
      <c r="S81" s="287">
        <v>0</v>
      </c>
      <c r="T81" s="287">
        <v>0</v>
      </c>
      <c r="U81" s="287">
        <v>0</v>
      </c>
      <c r="V81" s="287">
        <v>0</v>
      </c>
      <c r="W81" s="287">
        <v>25.988</v>
      </c>
      <c r="X81" s="287">
        <v>148.029</v>
      </c>
      <c r="Y81" s="286">
        <v>2580937.3067490002</v>
      </c>
      <c r="Z81" s="285" t="s">
        <v>633</v>
      </c>
    </row>
    <row r="82" spans="1:26" x14ac:dyDescent="0.25">
      <c r="A82" s="288" t="s">
        <v>247</v>
      </c>
      <c r="B82" s="285" t="s">
        <v>174</v>
      </c>
      <c r="C82" s="285" t="s">
        <v>732</v>
      </c>
      <c r="D82" s="286">
        <v>19570730</v>
      </c>
      <c r="E82" s="286">
        <v>0</v>
      </c>
      <c r="F82" s="286">
        <v>19570730</v>
      </c>
      <c r="G82" s="286">
        <v>10063.209999999999</v>
      </c>
      <c r="H82" s="287">
        <v>27</v>
      </c>
      <c r="I82" s="287">
        <v>4.4800000000000004</v>
      </c>
      <c r="J82" s="287">
        <v>22.52</v>
      </c>
      <c r="K82" s="287">
        <v>0</v>
      </c>
      <c r="L82" s="287">
        <v>0</v>
      </c>
      <c r="M82" s="287">
        <v>3.298</v>
      </c>
      <c r="N82" s="287">
        <v>0</v>
      </c>
      <c r="O82" s="287">
        <v>0</v>
      </c>
      <c r="P82" s="287">
        <v>0.51400000000000001</v>
      </c>
      <c r="Q82" s="287">
        <v>26.332000000000001</v>
      </c>
      <c r="R82" s="287">
        <v>0</v>
      </c>
      <c r="S82" s="287">
        <v>0</v>
      </c>
      <c r="T82" s="287">
        <v>0</v>
      </c>
      <c r="U82" s="287">
        <v>0</v>
      </c>
      <c r="V82" s="287">
        <v>0</v>
      </c>
      <c r="W82" s="287">
        <v>26.332000000000001</v>
      </c>
      <c r="X82" s="287">
        <v>167.149</v>
      </c>
      <c r="Y82" s="286">
        <v>2862744.6596400002</v>
      </c>
      <c r="Z82" s="285" t="s">
        <v>633</v>
      </c>
    </row>
    <row r="83" spans="1:26" x14ac:dyDescent="0.25">
      <c r="A83" s="288" t="s">
        <v>249</v>
      </c>
      <c r="B83" s="285" t="s">
        <v>139</v>
      </c>
      <c r="C83" s="285" t="s">
        <v>731</v>
      </c>
      <c r="D83" s="286">
        <v>41779644</v>
      </c>
      <c r="E83" s="286">
        <v>0</v>
      </c>
      <c r="F83" s="286">
        <v>41779644</v>
      </c>
      <c r="G83" s="286">
        <v>2298</v>
      </c>
      <c r="H83" s="287">
        <v>27</v>
      </c>
      <c r="I83" s="287">
        <v>0</v>
      </c>
      <c r="J83" s="287">
        <v>27</v>
      </c>
      <c r="K83" s="287">
        <v>0</v>
      </c>
      <c r="L83" s="287">
        <v>0</v>
      </c>
      <c r="M83" s="287">
        <v>0</v>
      </c>
      <c r="N83" s="287">
        <v>0</v>
      </c>
      <c r="O83" s="287">
        <v>0</v>
      </c>
      <c r="P83" s="287">
        <v>5.5E-2</v>
      </c>
      <c r="Q83" s="287">
        <v>27.055</v>
      </c>
      <c r="R83" s="287">
        <v>0</v>
      </c>
      <c r="S83" s="287">
        <v>0</v>
      </c>
      <c r="T83" s="287">
        <v>0</v>
      </c>
      <c r="U83" s="287">
        <v>0</v>
      </c>
      <c r="V83" s="287">
        <v>0</v>
      </c>
      <c r="W83" s="287">
        <v>27.055</v>
      </c>
      <c r="X83" s="287">
        <v>61.994</v>
      </c>
      <c r="Y83" s="286">
        <v>1511121.2427999999</v>
      </c>
      <c r="Z83" s="285" t="s">
        <v>633</v>
      </c>
    </row>
    <row r="84" spans="1:26" x14ac:dyDescent="0.25">
      <c r="A84" s="288" t="s">
        <v>251</v>
      </c>
      <c r="B84" s="285" t="s">
        <v>139</v>
      </c>
      <c r="C84" s="285" t="s">
        <v>730</v>
      </c>
      <c r="D84" s="286">
        <v>30076431</v>
      </c>
      <c r="E84" s="286">
        <v>0</v>
      </c>
      <c r="F84" s="286">
        <v>30076431</v>
      </c>
      <c r="G84" s="286">
        <v>79131.509999999995</v>
      </c>
      <c r="H84" s="287">
        <v>24.334</v>
      </c>
      <c r="I84" s="287">
        <v>0</v>
      </c>
      <c r="J84" s="287">
        <v>24.334</v>
      </c>
      <c r="K84" s="287">
        <v>0</v>
      </c>
      <c r="L84" s="287">
        <v>0</v>
      </c>
      <c r="M84" s="287">
        <v>4.6340000000000003</v>
      </c>
      <c r="N84" s="287">
        <v>0</v>
      </c>
      <c r="O84" s="287">
        <v>0</v>
      </c>
      <c r="P84" s="287">
        <v>0</v>
      </c>
      <c r="Q84" s="287">
        <v>28.968</v>
      </c>
      <c r="R84" s="287">
        <v>7.4809999999999999</v>
      </c>
      <c r="S84" s="287">
        <v>0</v>
      </c>
      <c r="T84" s="287">
        <v>0</v>
      </c>
      <c r="U84" s="287">
        <v>0</v>
      </c>
      <c r="V84" s="287">
        <v>0</v>
      </c>
      <c r="W84" s="287">
        <v>36.448999999999998</v>
      </c>
      <c r="X84" s="287">
        <v>75.546999999999997</v>
      </c>
      <c r="Y84" s="286">
        <v>1571891.109002</v>
      </c>
      <c r="Z84" s="285" t="s">
        <v>633</v>
      </c>
    </row>
    <row r="85" spans="1:26" x14ac:dyDescent="0.25">
      <c r="A85" s="288" t="s">
        <v>253</v>
      </c>
      <c r="B85" s="285" t="s">
        <v>139</v>
      </c>
      <c r="C85" s="285" t="s">
        <v>729</v>
      </c>
      <c r="D85" s="286">
        <v>23627480</v>
      </c>
      <c r="E85" s="286">
        <v>0</v>
      </c>
      <c r="F85" s="286">
        <v>23627480</v>
      </c>
      <c r="G85" s="286">
        <v>4109</v>
      </c>
      <c r="H85" s="287">
        <v>27</v>
      </c>
      <c r="I85" s="287">
        <v>0</v>
      </c>
      <c r="J85" s="287">
        <v>27</v>
      </c>
      <c r="K85" s="287">
        <v>0</v>
      </c>
      <c r="L85" s="287">
        <v>0</v>
      </c>
      <c r="M85" s="287">
        <v>0</v>
      </c>
      <c r="N85" s="287">
        <v>0</v>
      </c>
      <c r="O85" s="287">
        <v>7.5</v>
      </c>
      <c r="P85" s="287">
        <v>0.17399999999999999</v>
      </c>
      <c r="Q85" s="287">
        <v>34.673999999999999</v>
      </c>
      <c r="R85" s="287">
        <v>0</v>
      </c>
      <c r="S85" s="287">
        <v>0</v>
      </c>
      <c r="T85" s="287">
        <v>0</v>
      </c>
      <c r="U85" s="287">
        <v>0</v>
      </c>
      <c r="V85" s="287">
        <v>0</v>
      </c>
      <c r="W85" s="287">
        <v>34.673999999999999</v>
      </c>
      <c r="X85" s="287">
        <v>134.22300000000001</v>
      </c>
      <c r="Y85" s="286">
        <v>2651369.7047999999</v>
      </c>
      <c r="Z85" s="285" t="s">
        <v>633</v>
      </c>
    </row>
    <row r="86" spans="1:26" x14ac:dyDescent="0.25">
      <c r="A86" s="288" t="s">
        <v>255</v>
      </c>
      <c r="B86" s="285" t="s">
        <v>139</v>
      </c>
      <c r="C86" s="285" t="s">
        <v>728</v>
      </c>
      <c r="D86" s="286">
        <v>17745502</v>
      </c>
      <c r="E86" s="286">
        <v>0</v>
      </c>
      <c r="F86" s="286">
        <v>17745502</v>
      </c>
      <c r="G86" s="286">
        <v>0</v>
      </c>
      <c r="H86" s="287">
        <v>27</v>
      </c>
      <c r="I86" s="287">
        <v>1.8120000000000001</v>
      </c>
      <c r="J86" s="287">
        <v>25.187999999999999</v>
      </c>
      <c r="K86" s="287">
        <v>0</v>
      </c>
      <c r="L86" s="287">
        <v>0</v>
      </c>
      <c r="M86" s="287">
        <v>0</v>
      </c>
      <c r="N86" s="287">
        <v>0</v>
      </c>
      <c r="O86" s="287">
        <v>13.7</v>
      </c>
      <c r="P86" s="287">
        <v>0</v>
      </c>
      <c r="Q86" s="287">
        <v>38.887999999999998</v>
      </c>
      <c r="R86" s="287">
        <v>0</v>
      </c>
      <c r="S86" s="287">
        <v>0</v>
      </c>
      <c r="T86" s="287">
        <v>0</v>
      </c>
      <c r="U86" s="287">
        <v>0</v>
      </c>
      <c r="V86" s="287">
        <v>0</v>
      </c>
      <c r="W86" s="287">
        <v>38.887999999999998</v>
      </c>
      <c r="X86" s="287">
        <v>117.13800000000001</v>
      </c>
      <c r="Y86" s="286">
        <v>1673384.657632</v>
      </c>
      <c r="Z86" s="285" t="s">
        <v>633</v>
      </c>
    </row>
    <row r="87" spans="1:26" x14ac:dyDescent="0.25">
      <c r="A87" s="288" t="s">
        <v>257</v>
      </c>
      <c r="B87" s="285" t="s">
        <v>139</v>
      </c>
      <c r="C87" s="285" t="s">
        <v>727</v>
      </c>
      <c r="D87" s="286">
        <v>114213036</v>
      </c>
      <c r="E87" s="286">
        <v>0</v>
      </c>
      <c r="F87" s="286">
        <v>114213036</v>
      </c>
      <c r="G87" s="286">
        <v>2379.6</v>
      </c>
      <c r="H87" s="287">
        <v>27</v>
      </c>
      <c r="I87" s="287">
        <v>0</v>
      </c>
      <c r="J87" s="287">
        <v>27</v>
      </c>
      <c r="K87" s="287">
        <v>0</v>
      </c>
      <c r="L87" s="287">
        <v>0</v>
      </c>
      <c r="M87" s="287">
        <v>0</v>
      </c>
      <c r="N87" s="287">
        <v>0</v>
      </c>
      <c r="O87" s="287">
        <v>13.365</v>
      </c>
      <c r="P87" s="287">
        <v>2.1000000000000001E-2</v>
      </c>
      <c r="Q87" s="287">
        <v>40.386000000000003</v>
      </c>
      <c r="R87" s="287">
        <v>0</v>
      </c>
      <c r="S87" s="287">
        <v>0</v>
      </c>
      <c r="T87" s="287">
        <v>0</v>
      </c>
      <c r="U87" s="287">
        <v>0</v>
      </c>
      <c r="V87" s="287">
        <v>0</v>
      </c>
      <c r="W87" s="287">
        <v>40.386000000000003</v>
      </c>
      <c r="X87" s="287">
        <v>65.262</v>
      </c>
      <c r="Y87" s="286">
        <v>4523823.6492999997</v>
      </c>
      <c r="Z87" s="285" t="s">
        <v>633</v>
      </c>
    </row>
    <row r="88" spans="1:26" x14ac:dyDescent="0.25">
      <c r="A88" s="288" t="s">
        <v>259</v>
      </c>
      <c r="B88" s="285" t="s">
        <v>260</v>
      </c>
      <c r="C88" s="285" t="s">
        <v>726</v>
      </c>
      <c r="D88" s="286">
        <v>369570189</v>
      </c>
      <c r="E88" s="286">
        <v>3795889</v>
      </c>
      <c r="F88" s="286">
        <v>365774300</v>
      </c>
      <c r="G88" s="286">
        <v>60201.48</v>
      </c>
      <c r="H88" s="287">
        <v>26.513999999999999</v>
      </c>
      <c r="I88" s="287">
        <v>4.4999999999999998E-2</v>
      </c>
      <c r="J88" s="287">
        <v>26.469000000000001</v>
      </c>
      <c r="K88" s="287">
        <v>0</v>
      </c>
      <c r="L88" s="287">
        <v>0</v>
      </c>
      <c r="M88" s="287">
        <v>0</v>
      </c>
      <c r="N88" s="287">
        <v>0</v>
      </c>
      <c r="O88" s="287">
        <v>1.8260000000000001</v>
      </c>
      <c r="P88" s="287">
        <v>0.16500000000000001</v>
      </c>
      <c r="Q88" s="287">
        <v>28.46</v>
      </c>
      <c r="R88" s="287">
        <v>5.2060000000000004</v>
      </c>
      <c r="S88" s="287">
        <v>0</v>
      </c>
      <c r="T88" s="287">
        <v>0</v>
      </c>
      <c r="U88" s="287">
        <v>0</v>
      </c>
      <c r="V88" s="287">
        <v>0</v>
      </c>
      <c r="W88" s="287">
        <v>33.665999999999997</v>
      </c>
      <c r="X88" s="287">
        <v>26.067</v>
      </c>
      <c r="Y88" s="286">
        <v>0</v>
      </c>
      <c r="Z88" s="285" t="s">
        <v>633</v>
      </c>
    </row>
    <row r="89" spans="1:26" x14ac:dyDescent="0.25">
      <c r="A89" s="288" t="s">
        <v>261</v>
      </c>
      <c r="B89" s="285" t="s">
        <v>262</v>
      </c>
      <c r="C89" s="285" t="s">
        <v>725</v>
      </c>
      <c r="D89" s="286">
        <v>1658306490</v>
      </c>
      <c r="E89" s="286">
        <v>2894710</v>
      </c>
      <c r="F89" s="286">
        <v>1655411780</v>
      </c>
      <c r="G89" s="286">
        <v>43423</v>
      </c>
      <c r="H89" s="287">
        <v>12.747999999999999</v>
      </c>
      <c r="I89" s="287">
        <v>3.1469999999999998</v>
      </c>
      <c r="J89" s="287">
        <v>9.6010000000000009</v>
      </c>
      <c r="K89" s="287">
        <v>0</v>
      </c>
      <c r="L89" s="287">
        <v>0</v>
      </c>
      <c r="M89" s="287">
        <v>1.583</v>
      </c>
      <c r="N89" s="287">
        <v>0</v>
      </c>
      <c r="O89" s="287">
        <v>7.5990000000000002</v>
      </c>
      <c r="P89" s="287">
        <v>2.5999999999999999E-2</v>
      </c>
      <c r="Q89" s="287">
        <v>18.809000000000001</v>
      </c>
      <c r="R89" s="287">
        <v>5.7759999999999998</v>
      </c>
      <c r="S89" s="287">
        <v>0</v>
      </c>
      <c r="T89" s="287">
        <v>0</v>
      </c>
      <c r="U89" s="287">
        <v>0</v>
      </c>
      <c r="V89" s="287">
        <v>0</v>
      </c>
      <c r="W89" s="287">
        <v>24.585000000000001</v>
      </c>
      <c r="X89" s="287">
        <v>35.491999999999997</v>
      </c>
      <c r="Y89" s="286">
        <v>44321656.616590001</v>
      </c>
      <c r="Z89" s="285" t="s">
        <v>633</v>
      </c>
    </row>
    <row r="90" spans="1:26" x14ac:dyDescent="0.25">
      <c r="A90" s="288" t="s">
        <v>264</v>
      </c>
      <c r="B90" s="285" t="s">
        <v>262</v>
      </c>
      <c r="C90" s="285" t="s">
        <v>724</v>
      </c>
      <c r="D90" s="286">
        <v>267440460</v>
      </c>
      <c r="E90" s="286">
        <v>0</v>
      </c>
      <c r="F90" s="286">
        <v>267440460</v>
      </c>
      <c r="G90" s="286">
        <v>3860.27</v>
      </c>
      <c r="H90" s="287">
        <v>19.138000000000002</v>
      </c>
      <c r="I90" s="287">
        <f>H90-J90</f>
        <v>7.9090000000000025</v>
      </c>
      <c r="J90" s="287">
        <v>11.228999999999999</v>
      </c>
      <c r="K90" s="287">
        <v>0</v>
      </c>
      <c r="L90" s="287">
        <v>0</v>
      </c>
      <c r="M90" s="287">
        <v>0.129</v>
      </c>
      <c r="N90" s="287">
        <v>0</v>
      </c>
      <c r="O90" s="287">
        <v>7.7350000000000003</v>
      </c>
      <c r="P90" s="287">
        <v>1.4E-2</v>
      </c>
      <c r="Q90" s="287">
        <v>19.106999999999999</v>
      </c>
      <c r="R90" s="287">
        <v>12.47</v>
      </c>
      <c r="S90" s="287">
        <v>0</v>
      </c>
      <c r="T90" s="287">
        <v>0</v>
      </c>
      <c r="U90" s="287">
        <v>0</v>
      </c>
      <c r="V90" s="287">
        <v>0</v>
      </c>
      <c r="W90" s="287">
        <v>31.577000000000002</v>
      </c>
      <c r="X90" s="287">
        <v>51.720999999999997</v>
      </c>
      <c r="Y90" s="286">
        <v>11394326.22989</v>
      </c>
      <c r="Z90" s="285" t="s">
        <v>633</v>
      </c>
    </row>
    <row r="91" spans="1:26" x14ac:dyDescent="0.25">
      <c r="A91" s="288" t="s">
        <v>266</v>
      </c>
      <c r="B91" s="285" t="s">
        <v>262</v>
      </c>
      <c r="C91" s="285" t="s">
        <v>723</v>
      </c>
      <c r="D91" s="286">
        <v>351976130</v>
      </c>
      <c r="E91" s="286">
        <v>0</v>
      </c>
      <c r="F91" s="286">
        <v>351976130</v>
      </c>
      <c r="G91" s="286">
        <v>1760</v>
      </c>
      <c r="H91" s="287">
        <v>7.3310000000000004</v>
      </c>
      <c r="I91" s="287">
        <v>2.0569999999999999</v>
      </c>
      <c r="J91" s="287">
        <v>5.274</v>
      </c>
      <c r="K91" s="287">
        <v>0</v>
      </c>
      <c r="L91" s="287">
        <v>0</v>
      </c>
      <c r="M91" s="287">
        <v>0</v>
      </c>
      <c r="N91" s="287">
        <v>0</v>
      </c>
      <c r="O91" s="287">
        <v>3.125</v>
      </c>
      <c r="P91" s="287">
        <v>5.0000000000000001E-3</v>
      </c>
      <c r="Q91" s="287">
        <v>8.4039999999999999</v>
      </c>
      <c r="R91" s="287">
        <v>9</v>
      </c>
      <c r="S91" s="287">
        <v>0</v>
      </c>
      <c r="T91" s="287">
        <v>0</v>
      </c>
      <c r="U91" s="287">
        <v>0</v>
      </c>
      <c r="V91" s="287">
        <v>0</v>
      </c>
      <c r="W91" s="287">
        <v>17.404</v>
      </c>
      <c r="X91" s="287">
        <v>25.792000000000002</v>
      </c>
      <c r="Y91" s="286">
        <v>7320898.2071200004</v>
      </c>
      <c r="Z91" s="285" t="s">
        <v>633</v>
      </c>
    </row>
    <row r="92" spans="1:26" x14ac:dyDescent="0.25">
      <c r="A92" s="288" t="s">
        <v>268</v>
      </c>
      <c r="B92" s="285" t="s">
        <v>269</v>
      </c>
      <c r="C92" s="285" t="s">
        <v>722</v>
      </c>
      <c r="D92" s="286">
        <v>5164299905</v>
      </c>
      <c r="E92" s="286">
        <v>287073438</v>
      </c>
      <c r="F92" s="286">
        <v>4877226467</v>
      </c>
      <c r="G92" s="286">
        <v>932941</v>
      </c>
      <c r="H92" s="287">
        <v>27</v>
      </c>
      <c r="I92" s="287">
        <v>0</v>
      </c>
      <c r="J92" s="287">
        <v>27</v>
      </c>
      <c r="K92" s="287">
        <v>0</v>
      </c>
      <c r="L92" s="287">
        <v>0</v>
      </c>
      <c r="M92" s="287">
        <v>0</v>
      </c>
      <c r="N92" s="287">
        <v>0</v>
      </c>
      <c r="O92" s="287">
        <v>13.106</v>
      </c>
      <c r="P92" s="287">
        <v>0.191</v>
      </c>
      <c r="Q92" s="287">
        <v>40.296999999999997</v>
      </c>
      <c r="R92" s="287">
        <v>13.137</v>
      </c>
      <c r="S92" s="287">
        <v>0</v>
      </c>
      <c r="T92" s="287">
        <v>0</v>
      </c>
      <c r="U92" s="287">
        <v>0</v>
      </c>
      <c r="V92" s="287">
        <v>0</v>
      </c>
      <c r="W92" s="287">
        <v>53.433999999999997</v>
      </c>
      <c r="X92" s="287">
        <v>63.564</v>
      </c>
      <c r="Y92" s="286">
        <v>186823065.2128</v>
      </c>
      <c r="Z92" s="285" t="s">
        <v>633</v>
      </c>
    </row>
    <row r="93" spans="1:26" x14ac:dyDescent="0.25">
      <c r="A93" s="288" t="s">
        <v>271</v>
      </c>
      <c r="B93" s="285" t="s">
        <v>269</v>
      </c>
      <c r="C93" s="285" t="s">
        <v>721</v>
      </c>
      <c r="D93" s="286">
        <v>3479769646</v>
      </c>
      <c r="E93" s="286">
        <v>192137133</v>
      </c>
      <c r="F93" s="286">
        <v>3287632513</v>
      </c>
      <c r="G93" s="286">
        <v>206406.78</v>
      </c>
      <c r="H93" s="287">
        <v>27</v>
      </c>
      <c r="I93" s="287">
        <v>1.64</v>
      </c>
      <c r="J93" s="287">
        <v>25.36</v>
      </c>
      <c r="K93" s="287">
        <v>0</v>
      </c>
      <c r="L93" s="287">
        <v>0</v>
      </c>
      <c r="M93" s="287">
        <v>0</v>
      </c>
      <c r="N93" s="287">
        <v>0</v>
      </c>
      <c r="O93" s="287">
        <v>11.513999999999999</v>
      </c>
      <c r="P93" s="287">
        <v>6.3E-2</v>
      </c>
      <c r="Q93" s="287">
        <v>36.936999999999998</v>
      </c>
      <c r="R93" s="287">
        <v>5.8230000000000004</v>
      </c>
      <c r="S93" s="287">
        <v>0</v>
      </c>
      <c r="T93" s="287">
        <v>0</v>
      </c>
      <c r="U93" s="287">
        <v>0</v>
      </c>
      <c r="V93" s="287">
        <v>0</v>
      </c>
      <c r="W93" s="287">
        <v>42.76</v>
      </c>
      <c r="X93" s="287">
        <v>42.564999999999998</v>
      </c>
      <c r="Y93" s="286">
        <v>59125200.619259998</v>
      </c>
      <c r="Z93" s="285" t="s">
        <v>633</v>
      </c>
    </row>
    <row r="94" spans="1:26" x14ac:dyDescent="0.25">
      <c r="A94" s="288" t="s">
        <v>273</v>
      </c>
      <c r="B94" s="285" t="s">
        <v>269</v>
      </c>
      <c r="C94" s="285" t="s">
        <v>720</v>
      </c>
      <c r="D94" s="286">
        <v>623652817</v>
      </c>
      <c r="E94" s="286">
        <v>0</v>
      </c>
      <c r="F94" s="286">
        <v>623652817</v>
      </c>
      <c r="G94" s="286">
        <v>26456.21</v>
      </c>
      <c r="H94" s="287">
        <v>20.548999999999999</v>
      </c>
      <c r="I94" s="287">
        <v>0</v>
      </c>
      <c r="J94" s="287">
        <v>17.523</v>
      </c>
      <c r="K94" s="287">
        <v>0.75</v>
      </c>
      <c r="L94" s="287">
        <v>2.2759999999999998</v>
      </c>
      <c r="M94" s="287">
        <v>0</v>
      </c>
      <c r="N94" s="287">
        <v>0</v>
      </c>
      <c r="O94" s="287">
        <v>5.4359999999999999</v>
      </c>
      <c r="P94" s="287">
        <v>4.2999999999999997E-2</v>
      </c>
      <c r="Q94" s="287">
        <v>26.027999999999999</v>
      </c>
      <c r="R94" s="287">
        <v>2.7050000000000001</v>
      </c>
      <c r="S94" s="287">
        <v>0</v>
      </c>
      <c r="T94" s="287">
        <v>0</v>
      </c>
      <c r="U94" s="287">
        <v>0</v>
      </c>
      <c r="V94" s="287">
        <v>0</v>
      </c>
      <c r="W94" s="287">
        <v>28.733000000000001</v>
      </c>
      <c r="X94" s="287">
        <v>16.422000000000001</v>
      </c>
      <c r="Y94" s="286">
        <v>37.4357379988069</v>
      </c>
      <c r="Z94" s="285" t="s">
        <v>633</v>
      </c>
    </row>
    <row r="95" spans="1:26" x14ac:dyDescent="0.25">
      <c r="A95" s="288" t="s">
        <v>275</v>
      </c>
      <c r="B95" s="285" t="s">
        <v>125</v>
      </c>
      <c r="C95" s="285" t="s">
        <v>719</v>
      </c>
      <c r="D95" s="286">
        <v>166554555</v>
      </c>
      <c r="E95" s="286">
        <v>1428278</v>
      </c>
      <c r="F95" s="286">
        <v>165126277</v>
      </c>
      <c r="G95" s="286">
        <v>0</v>
      </c>
      <c r="H95" s="287">
        <v>27</v>
      </c>
      <c r="I95" s="287">
        <v>11.573</v>
      </c>
      <c r="J95" s="287">
        <v>15.427</v>
      </c>
      <c r="K95" s="287">
        <v>0</v>
      </c>
      <c r="L95" s="287">
        <v>0</v>
      </c>
      <c r="M95" s="287">
        <v>0</v>
      </c>
      <c r="N95" s="287">
        <v>0</v>
      </c>
      <c r="O95" s="287">
        <v>0</v>
      </c>
      <c r="P95" s="287">
        <v>0</v>
      </c>
      <c r="Q95" s="287">
        <v>15.427</v>
      </c>
      <c r="R95" s="287">
        <v>3.4420000000000002</v>
      </c>
      <c r="S95" s="287">
        <v>0</v>
      </c>
      <c r="T95" s="287">
        <v>0</v>
      </c>
      <c r="U95" s="287">
        <v>0</v>
      </c>
      <c r="V95" s="287">
        <v>0</v>
      </c>
      <c r="W95" s="287">
        <v>18.869</v>
      </c>
      <c r="X95" s="287">
        <v>53.576000000000001</v>
      </c>
      <c r="Y95" s="286">
        <v>6766122.738601</v>
      </c>
      <c r="Z95" s="285" t="s">
        <v>633</v>
      </c>
    </row>
    <row r="96" spans="1:26" x14ac:dyDescent="0.25">
      <c r="A96" s="288" t="s">
        <v>277</v>
      </c>
      <c r="B96" s="285" t="s">
        <v>125</v>
      </c>
      <c r="C96" s="285" t="s">
        <v>718</v>
      </c>
      <c r="D96" s="286">
        <v>170503569</v>
      </c>
      <c r="E96" s="286">
        <v>0</v>
      </c>
      <c r="F96" s="286">
        <v>170503569</v>
      </c>
      <c r="G96" s="286">
        <v>156.54</v>
      </c>
      <c r="H96" s="287">
        <v>4.1689999999999996</v>
      </c>
      <c r="I96" s="287">
        <v>0</v>
      </c>
      <c r="J96" s="287">
        <v>4.1689999999999996</v>
      </c>
      <c r="K96" s="287">
        <v>0</v>
      </c>
      <c r="L96" s="287">
        <v>0</v>
      </c>
      <c r="M96" s="287">
        <v>0.46200000000000002</v>
      </c>
      <c r="N96" s="287">
        <v>0</v>
      </c>
      <c r="O96" s="287">
        <v>2.0529999999999999</v>
      </c>
      <c r="P96" s="287">
        <v>1E-3</v>
      </c>
      <c r="Q96" s="287">
        <v>6.6849999999999996</v>
      </c>
      <c r="R96" s="287">
        <v>5.5129999999999999</v>
      </c>
      <c r="S96" s="287">
        <v>0.82099999999999995</v>
      </c>
      <c r="T96" s="287">
        <v>0</v>
      </c>
      <c r="U96" s="287">
        <v>0</v>
      </c>
      <c r="V96" s="287">
        <v>0</v>
      </c>
      <c r="W96" s="287">
        <v>13.019</v>
      </c>
      <c r="X96" s="287">
        <v>21.582999999999998</v>
      </c>
      <c r="Y96" s="286">
        <v>3012763.460039</v>
      </c>
      <c r="Z96" s="285" t="s">
        <v>633</v>
      </c>
    </row>
    <row r="97" spans="1:26" x14ac:dyDescent="0.25">
      <c r="A97" s="288" t="s">
        <v>279</v>
      </c>
      <c r="B97" s="285" t="s">
        <v>125</v>
      </c>
      <c r="C97" s="285" t="s">
        <v>717</v>
      </c>
      <c r="D97" s="286">
        <v>55902757</v>
      </c>
      <c r="E97" s="286">
        <v>176529</v>
      </c>
      <c r="F97" s="286">
        <v>55726228</v>
      </c>
      <c r="G97" s="286">
        <v>0</v>
      </c>
      <c r="H97" s="287">
        <v>27</v>
      </c>
      <c r="I97" s="287">
        <v>1.3420000000000001</v>
      </c>
      <c r="J97" s="287">
        <v>25.658000000000001</v>
      </c>
      <c r="K97" s="287">
        <v>0</v>
      </c>
      <c r="L97" s="287">
        <v>0</v>
      </c>
      <c r="M97" s="287">
        <v>0</v>
      </c>
      <c r="N97" s="287">
        <v>0</v>
      </c>
      <c r="O97" s="287">
        <v>0</v>
      </c>
      <c r="P97" s="287">
        <v>0</v>
      </c>
      <c r="Q97" s="287">
        <v>25.658000000000001</v>
      </c>
      <c r="R97" s="287">
        <v>4.5</v>
      </c>
      <c r="S97" s="287">
        <v>0</v>
      </c>
      <c r="T97" s="287">
        <v>0</v>
      </c>
      <c r="U97" s="287">
        <v>0</v>
      </c>
      <c r="V97" s="287">
        <v>0</v>
      </c>
      <c r="W97" s="287">
        <v>30.158000000000001</v>
      </c>
      <c r="X97" s="287">
        <v>72.866</v>
      </c>
      <c r="Y97" s="286">
        <v>2696745.8529360001</v>
      </c>
      <c r="Z97" s="285" t="s">
        <v>633</v>
      </c>
    </row>
    <row r="98" spans="1:26" x14ac:dyDescent="0.25">
      <c r="A98" s="288" t="s">
        <v>281</v>
      </c>
      <c r="B98" s="285" t="s">
        <v>125</v>
      </c>
      <c r="C98" s="285" t="s">
        <v>716</v>
      </c>
      <c r="D98" s="286">
        <v>62477957</v>
      </c>
      <c r="E98" s="286">
        <v>0</v>
      </c>
      <c r="F98" s="286">
        <v>62477957</v>
      </c>
      <c r="G98" s="286">
        <v>0</v>
      </c>
      <c r="H98" s="287">
        <v>23.288</v>
      </c>
      <c r="I98" s="287">
        <v>11.768000000000001</v>
      </c>
      <c r="J98" s="287">
        <v>11.52</v>
      </c>
      <c r="K98" s="287">
        <v>0</v>
      </c>
      <c r="L98" s="287">
        <v>0</v>
      </c>
      <c r="M98" s="287">
        <v>0.47399999999999998</v>
      </c>
      <c r="N98" s="287">
        <v>0</v>
      </c>
      <c r="O98" s="287">
        <v>0</v>
      </c>
      <c r="P98" s="287">
        <v>0</v>
      </c>
      <c r="Q98" s="287">
        <v>11.994</v>
      </c>
      <c r="R98" s="287">
        <v>0</v>
      </c>
      <c r="S98" s="287">
        <v>0</v>
      </c>
      <c r="T98" s="287">
        <v>0</v>
      </c>
      <c r="U98" s="287">
        <v>0</v>
      </c>
      <c r="V98" s="287">
        <v>0</v>
      </c>
      <c r="W98" s="287">
        <v>11.994</v>
      </c>
      <c r="X98" s="287">
        <v>32.253</v>
      </c>
      <c r="Y98" s="286">
        <v>1342490.68796</v>
      </c>
      <c r="Z98" s="285" t="s">
        <v>633</v>
      </c>
    </row>
    <row r="99" spans="1:26" x14ac:dyDescent="0.25">
      <c r="A99" s="288" t="s">
        <v>283</v>
      </c>
      <c r="B99" s="285" t="s">
        <v>125</v>
      </c>
      <c r="C99" s="285" t="s">
        <v>715</v>
      </c>
      <c r="D99" s="286">
        <v>19599894</v>
      </c>
      <c r="E99" s="286">
        <v>0</v>
      </c>
      <c r="F99" s="286">
        <v>19599894</v>
      </c>
      <c r="G99" s="286">
        <v>0</v>
      </c>
      <c r="H99" s="287">
        <v>27</v>
      </c>
      <c r="I99" s="287">
        <v>4.3840000000000003</v>
      </c>
      <c r="J99" s="287">
        <v>22.616</v>
      </c>
      <c r="K99" s="287">
        <v>0</v>
      </c>
      <c r="L99" s="287">
        <v>0</v>
      </c>
      <c r="M99" s="287">
        <v>0</v>
      </c>
      <c r="N99" s="287">
        <v>0</v>
      </c>
      <c r="O99" s="287">
        <v>6.64</v>
      </c>
      <c r="P99" s="287">
        <v>0</v>
      </c>
      <c r="Q99" s="287">
        <v>29.256</v>
      </c>
      <c r="R99" s="287">
        <v>0</v>
      </c>
      <c r="S99" s="287">
        <v>0</v>
      </c>
      <c r="T99" s="287">
        <v>0</v>
      </c>
      <c r="U99" s="287">
        <v>0</v>
      </c>
      <c r="V99" s="287">
        <v>0</v>
      </c>
      <c r="W99" s="287">
        <v>29.256</v>
      </c>
      <c r="X99" s="287">
        <v>230.43199999999999</v>
      </c>
      <c r="Y99" s="286">
        <v>4102437.1531560002</v>
      </c>
      <c r="Z99" s="285" t="s">
        <v>633</v>
      </c>
    </row>
    <row r="100" spans="1:26" x14ac:dyDescent="0.25">
      <c r="A100" s="288" t="s">
        <v>285</v>
      </c>
      <c r="B100" s="285" t="s">
        <v>125</v>
      </c>
      <c r="C100" s="285" t="s">
        <v>714</v>
      </c>
      <c r="D100" s="286">
        <v>24722948</v>
      </c>
      <c r="E100" s="286">
        <v>0</v>
      </c>
      <c r="F100" s="286">
        <v>24722948</v>
      </c>
      <c r="G100" s="286">
        <v>0</v>
      </c>
      <c r="H100" s="287">
        <v>27</v>
      </c>
      <c r="I100" s="287">
        <v>13.021000000000001</v>
      </c>
      <c r="J100" s="287">
        <v>13.978999999999999</v>
      </c>
      <c r="K100" s="287">
        <v>0</v>
      </c>
      <c r="L100" s="287">
        <v>0</v>
      </c>
      <c r="M100" s="287">
        <v>1.1459999999999999</v>
      </c>
      <c r="N100" s="287">
        <v>0</v>
      </c>
      <c r="O100" s="287">
        <v>6.9429999999999996</v>
      </c>
      <c r="P100" s="287">
        <v>0</v>
      </c>
      <c r="Q100" s="287">
        <v>22.068000000000001</v>
      </c>
      <c r="R100" s="287">
        <v>9.3030200000000001</v>
      </c>
      <c r="S100" s="287">
        <v>0</v>
      </c>
      <c r="T100" s="287">
        <v>0</v>
      </c>
      <c r="U100" s="287">
        <v>0</v>
      </c>
      <c r="V100" s="287">
        <v>0</v>
      </c>
      <c r="W100" s="287">
        <v>31.371020000000001</v>
      </c>
      <c r="X100" s="287">
        <v>37.186</v>
      </c>
      <c r="Y100" s="286">
        <v>583990.29311800003</v>
      </c>
      <c r="Z100" s="285" t="s">
        <v>633</v>
      </c>
    </row>
    <row r="101" spans="1:26" x14ac:dyDescent="0.25">
      <c r="A101" s="288" t="s">
        <v>287</v>
      </c>
      <c r="B101" s="285" t="s">
        <v>288</v>
      </c>
      <c r="C101" s="285" t="s">
        <v>713</v>
      </c>
      <c r="D101" s="286">
        <v>75461579</v>
      </c>
      <c r="E101" s="286">
        <v>0</v>
      </c>
      <c r="F101" s="286">
        <v>75461579</v>
      </c>
      <c r="G101" s="286">
        <v>2448.94</v>
      </c>
      <c r="H101" s="287">
        <v>17.379000000000001</v>
      </c>
      <c r="I101" s="287">
        <v>0</v>
      </c>
      <c r="J101" s="287">
        <v>17.379000000000001</v>
      </c>
      <c r="K101" s="287">
        <v>0</v>
      </c>
      <c r="L101" s="287">
        <v>0</v>
      </c>
      <c r="M101" s="287">
        <v>0</v>
      </c>
      <c r="N101" s="287">
        <v>0</v>
      </c>
      <c r="O101" s="287">
        <v>0</v>
      </c>
      <c r="P101" s="287">
        <v>0</v>
      </c>
      <c r="Q101" s="287">
        <v>17.379000000000001</v>
      </c>
      <c r="R101" s="287">
        <v>6.5860000000000003</v>
      </c>
      <c r="S101" s="287">
        <v>0</v>
      </c>
      <c r="T101" s="287">
        <v>0</v>
      </c>
      <c r="U101" s="287">
        <v>0</v>
      </c>
      <c r="V101" s="287">
        <v>0</v>
      </c>
      <c r="W101" s="287">
        <v>23.965</v>
      </c>
      <c r="X101" s="287">
        <v>41.472000000000001</v>
      </c>
      <c r="Y101" s="286">
        <v>1855906.913038</v>
      </c>
      <c r="Z101" s="285" t="s">
        <v>633</v>
      </c>
    </row>
    <row r="102" spans="1:26" x14ac:dyDescent="0.25">
      <c r="A102" s="288" t="s">
        <v>290</v>
      </c>
      <c r="B102" s="285" t="s">
        <v>288</v>
      </c>
      <c r="C102" s="285" t="s">
        <v>712</v>
      </c>
      <c r="D102" s="286">
        <v>83321676</v>
      </c>
      <c r="E102" s="286">
        <v>0</v>
      </c>
      <c r="F102" s="286">
        <v>83321676</v>
      </c>
      <c r="G102" s="286">
        <v>4236.22</v>
      </c>
      <c r="H102" s="287">
        <v>27</v>
      </c>
      <c r="I102" s="287">
        <v>2.1760000000000002</v>
      </c>
      <c r="J102" s="287">
        <v>24.824000000000002</v>
      </c>
      <c r="K102" s="287">
        <v>0</v>
      </c>
      <c r="L102" s="287">
        <v>0</v>
      </c>
      <c r="M102" s="287">
        <v>0</v>
      </c>
      <c r="N102" s="287">
        <v>0</v>
      </c>
      <c r="O102" s="287">
        <v>0</v>
      </c>
      <c r="P102" s="287">
        <v>5.0999999999999997E-2</v>
      </c>
      <c r="Q102" s="287">
        <v>24.875</v>
      </c>
      <c r="R102" s="287">
        <v>6.4429999999999996</v>
      </c>
      <c r="S102" s="287">
        <v>0</v>
      </c>
      <c r="T102" s="287">
        <v>0</v>
      </c>
      <c r="U102" s="287">
        <v>0</v>
      </c>
      <c r="V102" s="287">
        <v>0</v>
      </c>
      <c r="W102" s="287">
        <v>31.318000000000001</v>
      </c>
      <c r="X102" s="287">
        <v>61.860999999999997</v>
      </c>
      <c r="Y102" s="286">
        <v>3174630.87304</v>
      </c>
      <c r="Z102" s="285" t="s">
        <v>633</v>
      </c>
    </row>
    <row r="103" spans="1:26" x14ac:dyDescent="0.25">
      <c r="A103" s="288" t="s">
        <v>292</v>
      </c>
      <c r="B103" s="285" t="s">
        <v>288</v>
      </c>
      <c r="C103" s="285" t="s">
        <v>711</v>
      </c>
      <c r="D103" s="286">
        <v>6201370</v>
      </c>
      <c r="E103" s="286">
        <v>0</v>
      </c>
      <c r="F103" s="286">
        <v>6201370</v>
      </c>
      <c r="G103" s="286">
        <v>0</v>
      </c>
      <c r="H103" s="287">
        <v>27</v>
      </c>
      <c r="I103" s="287">
        <v>0</v>
      </c>
      <c r="J103" s="287">
        <v>27</v>
      </c>
      <c r="K103" s="287">
        <v>0</v>
      </c>
      <c r="L103" s="287">
        <v>0</v>
      </c>
      <c r="M103" s="287">
        <v>0</v>
      </c>
      <c r="N103" s="287">
        <v>0</v>
      </c>
      <c r="O103" s="287">
        <v>0</v>
      </c>
      <c r="P103" s="287">
        <v>0</v>
      </c>
      <c r="Q103" s="287">
        <v>27</v>
      </c>
      <c r="R103" s="287">
        <v>0</v>
      </c>
      <c r="S103" s="287">
        <v>0</v>
      </c>
      <c r="T103" s="287">
        <v>0</v>
      </c>
      <c r="U103" s="287">
        <v>0</v>
      </c>
      <c r="V103" s="287">
        <v>0</v>
      </c>
      <c r="W103" s="287">
        <v>27</v>
      </c>
      <c r="X103" s="287">
        <v>163.48599999999999</v>
      </c>
      <c r="Y103" s="286">
        <v>891957.91350000002</v>
      </c>
      <c r="Z103" s="285" t="s">
        <v>633</v>
      </c>
    </row>
    <row r="104" spans="1:26" x14ac:dyDescent="0.25">
      <c r="A104" s="288" t="s">
        <v>294</v>
      </c>
      <c r="B104" s="285" t="s">
        <v>295</v>
      </c>
      <c r="C104" s="285" t="s">
        <v>710</v>
      </c>
      <c r="D104" s="286">
        <v>235396478</v>
      </c>
      <c r="E104" s="286">
        <v>6981968</v>
      </c>
      <c r="F104" s="286">
        <v>228414510</v>
      </c>
      <c r="G104" s="286">
        <v>7123.96</v>
      </c>
      <c r="H104" s="287">
        <v>27</v>
      </c>
      <c r="I104" s="287">
        <v>0</v>
      </c>
      <c r="J104" s="287">
        <v>27</v>
      </c>
      <c r="K104" s="287">
        <v>0</v>
      </c>
      <c r="L104" s="287">
        <v>0</v>
      </c>
      <c r="M104" s="287">
        <v>0</v>
      </c>
      <c r="N104" s="287">
        <v>0</v>
      </c>
      <c r="O104" s="287">
        <v>2.1890000000000001</v>
      </c>
      <c r="P104" s="287">
        <v>3.1E-2</v>
      </c>
      <c r="Q104" s="287">
        <v>29.22</v>
      </c>
      <c r="R104" s="287">
        <v>2.1070000000000002</v>
      </c>
      <c r="S104" s="287">
        <v>0</v>
      </c>
      <c r="T104" s="287">
        <v>0</v>
      </c>
      <c r="U104" s="287">
        <v>0</v>
      </c>
      <c r="V104" s="287">
        <v>0</v>
      </c>
      <c r="W104" s="287">
        <v>31.327000000000002</v>
      </c>
      <c r="X104" s="287">
        <v>80.578000000000003</v>
      </c>
      <c r="Y104" s="286">
        <v>13126014.624</v>
      </c>
      <c r="Z104" s="285" t="s">
        <v>633</v>
      </c>
    </row>
    <row r="105" spans="1:26" x14ac:dyDescent="0.25">
      <c r="A105" s="288" t="s">
        <v>297</v>
      </c>
      <c r="B105" s="285" t="s">
        <v>295</v>
      </c>
      <c r="C105" s="285" t="s">
        <v>709</v>
      </c>
      <c r="D105" s="286">
        <v>46413903</v>
      </c>
      <c r="E105" s="286">
        <v>0</v>
      </c>
      <c r="F105" s="286">
        <v>46413903</v>
      </c>
      <c r="G105" s="286">
        <v>4734</v>
      </c>
      <c r="H105" s="287">
        <v>27</v>
      </c>
      <c r="I105" s="287">
        <v>0</v>
      </c>
      <c r="J105" s="287">
        <v>27</v>
      </c>
      <c r="K105" s="287">
        <v>0</v>
      </c>
      <c r="L105" s="287">
        <v>0</v>
      </c>
      <c r="M105" s="287">
        <v>0.40100000000000002</v>
      </c>
      <c r="N105" s="287">
        <v>0</v>
      </c>
      <c r="O105" s="287">
        <v>0.63800000000000001</v>
      </c>
      <c r="P105" s="287">
        <v>0.10199999999999999</v>
      </c>
      <c r="Q105" s="287">
        <v>28.140999999999998</v>
      </c>
      <c r="R105" s="287">
        <v>0</v>
      </c>
      <c r="S105" s="287">
        <v>0</v>
      </c>
      <c r="T105" s="287">
        <v>0</v>
      </c>
      <c r="U105" s="287">
        <v>0</v>
      </c>
      <c r="V105" s="287">
        <v>0</v>
      </c>
      <c r="W105" s="287">
        <v>28.140999999999998</v>
      </c>
      <c r="X105" s="287">
        <v>68.177999999999997</v>
      </c>
      <c r="Y105" s="286">
        <v>1960991.9927000001</v>
      </c>
      <c r="Z105" s="285" t="s">
        <v>633</v>
      </c>
    </row>
    <row r="106" spans="1:26" x14ac:dyDescent="0.25">
      <c r="A106" s="288" t="s">
        <v>299</v>
      </c>
      <c r="B106" s="285" t="s">
        <v>295</v>
      </c>
      <c r="C106" s="285" t="s">
        <v>708</v>
      </c>
      <c r="D106" s="286">
        <v>41108249</v>
      </c>
      <c r="E106" s="286">
        <v>0</v>
      </c>
      <c r="F106" s="286">
        <v>41108249</v>
      </c>
      <c r="G106" s="286">
        <v>2179</v>
      </c>
      <c r="H106" s="287">
        <v>27</v>
      </c>
      <c r="I106" s="287">
        <v>0</v>
      </c>
      <c r="J106" s="287">
        <v>27</v>
      </c>
      <c r="K106" s="287">
        <v>0</v>
      </c>
      <c r="L106" s="287">
        <v>0</v>
      </c>
      <c r="M106" s="287">
        <v>0</v>
      </c>
      <c r="N106" s="287">
        <v>0</v>
      </c>
      <c r="O106" s="287">
        <v>0</v>
      </c>
      <c r="P106" s="287">
        <v>5.2999999999999999E-2</v>
      </c>
      <c r="Q106" s="287">
        <v>27.053000000000001</v>
      </c>
      <c r="R106" s="287">
        <v>3.9580000000000002</v>
      </c>
      <c r="S106" s="287">
        <v>0</v>
      </c>
      <c r="T106" s="287">
        <v>0</v>
      </c>
      <c r="U106" s="287">
        <v>0</v>
      </c>
      <c r="V106" s="287">
        <v>0</v>
      </c>
      <c r="W106" s="287">
        <v>31.010999999999999</v>
      </c>
      <c r="X106" s="287">
        <v>101.714</v>
      </c>
      <c r="Y106" s="286">
        <v>3147570.3656000001</v>
      </c>
      <c r="Z106" s="285" t="s">
        <v>633</v>
      </c>
    </row>
    <row r="107" spans="1:26" x14ac:dyDescent="0.25">
      <c r="A107" s="288" t="s">
        <v>301</v>
      </c>
      <c r="B107" s="285" t="s">
        <v>295</v>
      </c>
      <c r="C107" s="285" t="s">
        <v>707</v>
      </c>
      <c r="D107" s="286">
        <v>57826506</v>
      </c>
      <c r="E107" s="286">
        <v>0</v>
      </c>
      <c r="F107" s="286">
        <v>57826506</v>
      </c>
      <c r="G107" s="286">
        <v>13141.16</v>
      </c>
      <c r="H107" s="287">
        <v>25.81</v>
      </c>
      <c r="I107" s="287">
        <v>5.3920000000000003</v>
      </c>
      <c r="J107" s="287">
        <v>20.417999999999999</v>
      </c>
      <c r="K107" s="287">
        <v>0</v>
      </c>
      <c r="L107" s="287">
        <v>0</v>
      </c>
      <c r="M107" s="287">
        <v>0</v>
      </c>
      <c r="N107" s="287">
        <v>0</v>
      </c>
      <c r="O107" s="287">
        <v>7.6950000000000003</v>
      </c>
      <c r="P107" s="287">
        <v>0.23</v>
      </c>
      <c r="Q107" s="287">
        <v>28.343</v>
      </c>
      <c r="R107" s="287">
        <v>14.425000000000001</v>
      </c>
      <c r="S107" s="287">
        <v>0</v>
      </c>
      <c r="T107" s="287">
        <v>0</v>
      </c>
      <c r="U107" s="287">
        <v>0</v>
      </c>
      <c r="V107" s="287">
        <v>0</v>
      </c>
      <c r="W107" s="287">
        <v>42.768000000000001</v>
      </c>
      <c r="X107" s="287">
        <v>49.594000000000001</v>
      </c>
      <c r="Y107" s="286">
        <v>1746904.7145499999</v>
      </c>
      <c r="Z107" s="285" t="s">
        <v>633</v>
      </c>
    </row>
    <row r="108" spans="1:26" x14ac:dyDescent="0.25">
      <c r="A108" s="288" t="s">
        <v>303</v>
      </c>
      <c r="B108" s="285" t="s">
        <v>304</v>
      </c>
      <c r="C108" s="285" t="s">
        <v>706</v>
      </c>
      <c r="D108" s="286">
        <v>386457150</v>
      </c>
      <c r="E108" s="286">
        <v>0</v>
      </c>
      <c r="F108" s="286">
        <v>386457150</v>
      </c>
      <c r="G108" s="286">
        <v>2330.4499999999998</v>
      </c>
      <c r="H108" s="287">
        <v>3.43</v>
      </c>
      <c r="I108" s="287">
        <v>0</v>
      </c>
      <c r="J108" s="287">
        <v>3.43</v>
      </c>
      <c r="K108" s="287">
        <v>0</v>
      </c>
      <c r="L108" s="287">
        <v>0</v>
      </c>
      <c r="M108" s="287">
        <v>1.4E-2</v>
      </c>
      <c r="N108" s="287">
        <v>0</v>
      </c>
      <c r="O108" s="287">
        <v>0</v>
      </c>
      <c r="P108" s="287">
        <v>6.0000000000000001E-3</v>
      </c>
      <c r="Q108" s="287">
        <v>3.45</v>
      </c>
      <c r="R108" s="287">
        <v>2.8149999999999999</v>
      </c>
      <c r="S108" s="287">
        <v>0</v>
      </c>
      <c r="T108" s="287">
        <v>0</v>
      </c>
      <c r="U108" s="287">
        <v>0</v>
      </c>
      <c r="V108" s="287">
        <v>0</v>
      </c>
      <c r="W108" s="287">
        <v>6.2649999999999997</v>
      </c>
      <c r="X108" s="287">
        <v>6.8719999999999999</v>
      </c>
      <c r="Y108" s="286">
        <v>1336848.3733999999</v>
      </c>
      <c r="Z108" s="285" t="s">
        <v>633</v>
      </c>
    </row>
    <row r="109" spans="1:26" x14ac:dyDescent="0.25">
      <c r="A109" s="288" t="s">
        <v>306</v>
      </c>
      <c r="B109" s="285" t="s">
        <v>304</v>
      </c>
      <c r="C109" s="285" t="s">
        <v>705</v>
      </c>
      <c r="D109" s="286">
        <v>216075390</v>
      </c>
      <c r="E109" s="286">
        <v>0</v>
      </c>
      <c r="F109" s="286">
        <v>216075390</v>
      </c>
      <c r="G109" s="286">
        <v>703.65</v>
      </c>
      <c r="H109" s="287">
        <v>11.895</v>
      </c>
      <c r="I109" s="287">
        <v>0</v>
      </c>
      <c r="J109" s="287">
        <v>11.895</v>
      </c>
      <c r="K109" s="287">
        <v>0</v>
      </c>
      <c r="L109" s="287">
        <v>0</v>
      </c>
      <c r="M109" s="287">
        <v>0</v>
      </c>
      <c r="N109" s="287">
        <v>0</v>
      </c>
      <c r="O109" s="287">
        <v>1.62</v>
      </c>
      <c r="P109" s="287">
        <v>3.0000000000000001E-3</v>
      </c>
      <c r="Q109" s="287">
        <v>13.518000000000001</v>
      </c>
      <c r="R109" s="287">
        <v>12.478999999999999</v>
      </c>
      <c r="S109" s="287">
        <v>0</v>
      </c>
      <c r="T109" s="287">
        <v>0</v>
      </c>
      <c r="U109" s="287">
        <v>0</v>
      </c>
      <c r="V109" s="287">
        <v>0</v>
      </c>
      <c r="W109" s="287">
        <v>25.997</v>
      </c>
      <c r="X109" s="287">
        <v>18.114000000000001</v>
      </c>
      <c r="Y109" s="286">
        <v>1370761.2962499999</v>
      </c>
      <c r="Z109" s="285" t="s">
        <v>633</v>
      </c>
    </row>
    <row r="110" spans="1:26" x14ac:dyDescent="0.25">
      <c r="A110" s="288" t="s">
        <v>308</v>
      </c>
      <c r="B110" s="285" t="s">
        <v>304</v>
      </c>
      <c r="C110" s="285" t="s">
        <v>704</v>
      </c>
      <c r="D110" s="286">
        <v>2515714950</v>
      </c>
      <c r="E110" s="286">
        <v>31075520</v>
      </c>
      <c r="F110" s="286">
        <v>2484639430</v>
      </c>
      <c r="G110" s="286">
        <v>233297.73</v>
      </c>
      <c r="H110" s="287">
        <v>27</v>
      </c>
      <c r="I110" s="287">
        <v>0</v>
      </c>
      <c r="J110" s="287">
        <v>27</v>
      </c>
      <c r="K110" s="287">
        <v>0</v>
      </c>
      <c r="L110" s="287">
        <v>0</v>
      </c>
      <c r="M110" s="287">
        <v>0</v>
      </c>
      <c r="N110" s="287">
        <v>0</v>
      </c>
      <c r="O110" s="287">
        <v>6.6289999999999996</v>
      </c>
      <c r="P110" s="287">
        <v>9.4E-2</v>
      </c>
      <c r="Q110" s="287">
        <v>33.722999999999999</v>
      </c>
      <c r="R110" s="287">
        <v>11.353999999999999</v>
      </c>
      <c r="S110" s="287">
        <v>0</v>
      </c>
      <c r="T110" s="287">
        <v>0</v>
      </c>
      <c r="U110" s="287">
        <v>0</v>
      </c>
      <c r="V110" s="287">
        <v>0</v>
      </c>
      <c r="W110" s="287">
        <v>45.076999999999998</v>
      </c>
      <c r="X110" s="287">
        <v>80.358000000000004</v>
      </c>
      <c r="Y110" s="286">
        <v>141756783.5573</v>
      </c>
      <c r="Z110" s="285" t="s">
        <v>633</v>
      </c>
    </row>
    <row r="111" spans="1:26" x14ac:dyDescent="0.25">
      <c r="A111" s="288" t="s">
        <v>310</v>
      </c>
      <c r="B111" s="285" t="s">
        <v>311</v>
      </c>
      <c r="C111" s="285" t="s">
        <v>703</v>
      </c>
      <c r="D111" s="286">
        <v>54531889</v>
      </c>
      <c r="E111" s="286">
        <v>0</v>
      </c>
      <c r="F111" s="286">
        <v>54531889</v>
      </c>
      <c r="G111" s="286">
        <v>0</v>
      </c>
      <c r="H111" s="287">
        <v>27</v>
      </c>
      <c r="I111" s="287">
        <v>3.5470000000000002</v>
      </c>
      <c r="J111" s="287">
        <v>23.452999999999999</v>
      </c>
      <c r="K111" s="287">
        <v>0</v>
      </c>
      <c r="L111" s="287">
        <v>0</v>
      </c>
      <c r="M111" s="287">
        <v>0</v>
      </c>
      <c r="N111" s="287">
        <v>0</v>
      </c>
      <c r="O111" s="287">
        <v>1.284</v>
      </c>
      <c r="P111" s="287">
        <v>0</v>
      </c>
      <c r="Q111" s="287">
        <v>24.736999999999998</v>
      </c>
      <c r="R111" s="287">
        <v>9.5359999999999996</v>
      </c>
      <c r="S111" s="287">
        <v>0</v>
      </c>
      <c r="T111" s="287">
        <v>0</v>
      </c>
      <c r="U111" s="287">
        <v>0</v>
      </c>
      <c r="V111" s="287">
        <v>0</v>
      </c>
      <c r="W111" s="287">
        <v>34.273000000000003</v>
      </c>
      <c r="X111" s="287">
        <v>30.478999999999999</v>
      </c>
      <c r="Y111" s="286">
        <v>408784.62763800001</v>
      </c>
      <c r="Z111" s="285" t="s">
        <v>633</v>
      </c>
    </row>
    <row r="112" spans="1:26" x14ac:dyDescent="0.25">
      <c r="A112" s="288" t="s">
        <v>313</v>
      </c>
      <c r="B112" s="285" t="s">
        <v>314</v>
      </c>
      <c r="C112" s="285" t="s">
        <v>702</v>
      </c>
      <c r="D112" s="286">
        <v>411725505</v>
      </c>
      <c r="E112" s="286">
        <v>0</v>
      </c>
      <c r="F112" s="286">
        <v>411725505</v>
      </c>
      <c r="G112" s="286">
        <v>67130.62</v>
      </c>
      <c r="H112" s="287">
        <v>27</v>
      </c>
      <c r="I112" s="287">
        <v>3.484</v>
      </c>
      <c r="J112" s="287">
        <v>23.515999999999998</v>
      </c>
      <c r="K112" s="287">
        <v>0</v>
      </c>
      <c r="L112" s="287">
        <v>0</v>
      </c>
      <c r="M112" s="287">
        <v>0.67500000000000004</v>
      </c>
      <c r="N112" s="287">
        <v>0</v>
      </c>
      <c r="O112" s="287">
        <v>4.6150000000000002</v>
      </c>
      <c r="P112" s="287">
        <v>0.16300000000000001</v>
      </c>
      <c r="Q112" s="287">
        <v>28.969000000000001</v>
      </c>
      <c r="R112" s="287">
        <v>6.5270000000000001</v>
      </c>
      <c r="S112" s="287">
        <v>0</v>
      </c>
      <c r="T112" s="287">
        <v>0</v>
      </c>
      <c r="U112" s="287">
        <v>0</v>
      </c>
      <c r="V112" s="287">
        <v>0</v>
      </c>
      <c r="W112" s="287">
        <v>35.496000000000002</v>
      </c>
      <c r="X112" s="287">
        <v>44.606999999999999</v>
      </c>
      <c r="Y112" s="286">
        <v>9011464.1337480005</v>
      </c>
      <c r="Z112" s="285" t="s">
        <v>633</v>
      </c>
    </row>
    <row r="113" spans="1:26" x14ac:dyDescent="0.25">
      <c r="A113" s="288" t="s">
        <v>315</v>
      </c>
      <c r="B113" s="285" t="s">
        <v>316</v>
      </c>
      <c r="C113" s="285" t="s">
        <v>701</v>
      </c>
      <c r="D113" s="286">
        <v>604219120</v>
      </c>
      <c r="E113" s="286">
        <v>0</v>
      </c>
      <c r="F113" s="286">
        <v>604219120</v>
      </c>
      <c r="G113" s="286">
        <v>0</v>
      </c>
      <c r="H113" s="287">
        <v>27</v>
      </c>
      <c r="I113" s="287">
        <v>5.1550000000000002</v>
      </c>
      <c r="J113" s="287">
        <v>21.844999999999999</v>
      </c>
      <c r="K113" s="287">
        <v>0</v>
      </c>
      <c r="L113" s="287">
        <v>0</v>
      </c>
      <c r="M113" s="287">
        <v>0</v>
      </c>
      <c r="N113" s="287">
        <v>0</v>
      </c>
      <c r="O113" s="287">
        <v>0</v>
      </c>
      <c r="P113" s="287">
        <v>0</v>
      </c>
      <c r="Q113" s="287">
        <v>21.844999999999999</v>
      </c>
      <c r="R113" s="287">
        <v>2.359</v>
      </c>
      <c r="S113" s="287">
        <v>0</v>
      </c>
      <c r="T113" s="287">
        <v>0</v>
      </c>
      <c r="U113" s="287">
        <v>0</v>
      </c>
      <c r="V113" s="287">
        <v>0</v>
      </c>
      <c r="W113" s="287">
        <v>24.204000000000001</v>
      </c>
      <c r="X113" s="287">
        <v>40.494999999999997</v>
      </c>
      <c r="Y113" s="286">
        <v>11589244.752</v>
      </c>
      <c r="Z113" s="285" t="s">
        <v>633</v>
      </c>
    </row>
    <row r="114" spans="1:26" x14ac:dyDescent="0.25">
      <c r="A114" s="288" t="s">
        <v>317</v>
      </c>
      <c r="B114" s="285" t="s">
        <v>316</v>
      </c>
      <c r="C114" s="285" t="s">
        <v>700</v>
      </c>
      <c r="D114" s="286">
        <v>62017240</v>
      </c>
      <c r="E114" s="286">
        <v>0</v>
      </c>
      <c r="F114" s="286">
        <v>62017240</v>
      </c>
      <c r="G114" s="286">
        <v>0</v>
      </c>
      <c r="H114" s="287">
        <v>27</v>
      </c>
      <c r="I114" s="287">
        <v>3.117</v>
      </c>
      <c r="J114" s="287">
        <v>23.882999999999999</v>
      </c>
      <c r="K114" s="287">
        <v>0</v>
      </c>
      <c r="L114" s="287">
        <v>0</v>
      </c>
      <c r="M114" s="287">
        <v>0</v>
      </c>
      <c r="N114" s="287">
        <v>0</v>
      </c>
      <c r="O114" s="287">
        <v>6.2889999999999997</v>
      </c>
      <c r="P114" s="287">
        <v>0</v>
      </c>
      <c r="Q114" s="287">
        <v>30.172000000000001</v>
      </c>
      <c r="R114" s="287">
        <v>3.7890000000000001</v>
      </c>
      <c r="S114" s="287">
        <v>0</v>
      </c>
      <c r="T114" s="287">
        <v>0</v>
      </c>
      <c r="U114" s="287">
        <v>0</v>
      </c>
      <c r="V114" s="287">
        <v>0</v>
      </c>
      <c r="W114" s="287">
        <v>33.960999999999999</v>
      </c>
      <c r="X114" s="287">
        <v>106.806</v>
      </c>
      <c r="Y114" s="286">
        <v>5601219.4920600001</v>
      </c>
      <c r="Z114" s="285" t="s">
        <v>633</v>
      </c>
    </row>
    <row r="115" spans="1:26" x14ac:dyDescent="0.25">
      <c r="A115" s="288" t="s">
        <v>318</v>
      </c>
      <c r="B115" s="285" t="s">
        <v>316</v>
      </c>
      <c r="C115" s="285" t="s">
        <v>699</v>
      </c>
      <c r="D115" s="286">
        <v>54794750</v>
      </c>
      <c r="E115" s="286">
        <v>0</v>
      </c>
      <c r="F115" s="286">
        <v>54794750</v>
      </c>
      <c r="G115" s="286">
        <v>0</v>
      </c>
      <c r="H115" s="287">
        <v>27</v>
      </c>
      <c r="I115" s="287">
        <v>8.3420000000000005</v>
      </c>
      <c r="J115" s="287">
        <v>18.658000000000001</v>
      </c>
      <c r="K115" s="287">
        <v>0</v>
      </c>
      <c r="L115" s="287">
        <v>0</v>
      </c>
      <c r="M115" s="287">
        <v>0</v>
      </c>
      <c r="N115" s="287">
        <v>0</v>
      </c>
      <c r="O115" s="287">
        <v>1.0549999999999999</v>
      </c>
      <c r="P115" s="287">
        <v>0</v>
      </c>
      <c r="Q115" s="287">
        <v>19.713000000000001</v>
      </c>
      <c r="R115" s="287">
        <v>6.8440000000000003</v>
      </c>
      <c r="S115" s="287">
        <v>0</v>
      </c>
      <c r="T115" s="287">
        <v>0</v>
      </c>
      <c r="U115" s="287">
        <v>0</v>
      </c>
      <c r="V115" s="287">
        <v>0</v>
      </c>
      <c r="W115" s="287">
        <v>26.556999999999999</v>
      </c>
      <c r="X115" s="287">
        <v>93.137</v>
      </c>
      <c r="Y115" s="286">
        <v>4422721.8400600003</v>
      </c>
      <c r="Z115" s="285" t="s">
        <v>633</v>
      </c>
    </row>
    <row r="116" spans="1:26" x14ac:dyDescent="0.25">
      <c r="A116" s="288" t="s">
        <v>320</v>
      </c>
      <c r="B116" s="285" t="s">
        <v>321</v>
      </c>
      <c r="C116" s="285" t="s">
        <v>698</v>
      </c>
      <c r="D116" s="286">
        <v>822167120</v>
      </c>
      <c r="E116" s="286">
        <v>11231480</v>
      </c>
      <c r="F116" s="286">
        <v>810935640</v>
      </c>
      <c r="G116" s="286">
        <v>17773.349999999999</v>
      </c>
      <c r="H116" s="287">
        <v>27</v>
      </c>
      <c r="I116" s="287">
        <v>2.0329999999999999</v>
      </c>
      <c r="J116" s="287">
        <v>24.966999999999999</v>
      </c>
      <c r="K116" s="287">
        <v>0</v>
      </c>
      <c r="L116" s="287">
        <v>0</v>
      </c>
      <c r="M116" s="287">
        <v>0</v>
      </c>
      <c r="N116" s="287">
        <v>0</v>
      </c>
      <c r="O116" s="287">
        <v>0</v>
      </c>
      <c r="P116" s="287">
        <v>2.1999999999999999E-2</v>
      </c>
      <c r="Q116" s="287">
        <v>24.989000000000001</v>
      </c>
      <c r="R116" s="287">
        <v>2.4159999999999999</v>
      </c>
      <c r="S116" s="287">
        <v>0</v>
      </c>
      <c r="T116" s="287">
        <v>0</v>
      </c>
      <c r="U116" s="287">
        <v>0</v>
      </c>
      <c r="V116" s="287">
        <v>0</v>
      </c>
      <c r="W116" s="287">
        <v>27.405000000000001</v>
      </c>
      <c r="X116" s="287">
        <v>68.953000000000003</v>
      </c>
      <c r="Y116" s="286">
        <v>37763522.951636001</v>
      </c>
      <c r="Z116" s="285" t="s">
        <v>633</v>
      </c>
    </row>
    <row r="117" spans="1:26" x14ac:dyDescent="0.25">
      <c r="A117" s="288" t="s">
        <v>322</v>
      </c>
      <c r="B117" s="285" t="s">
        <v>321</v>
      </c>
      <c r="C117" s="285" t="s">
        <v>697</v>
      </c>
      <c r="D117" s="286">
        <v>24571540</v>
      </c>
      <c r="E117" s="286">
        <v>0</v>
      </c>
      <c r="F117" s="286">
        <v>24571540</v>
      </c>
      <c r="G117" s="286">
        <v>2174</v>
      </c>
      <c r="H117" s="287">
        <v>27</v>
      </c>
      <c r="I117" s="287">
        <v>4.101</v>
      </c>
      <c r="J117" s="287">
        <v>22.899000000000001</v>
      </c>
      <c r="K117" s="287">
        <v>0</v>
      </c>
      <c r="L117" s="287">
        <v>0</v>
      </c>
      <c r="M117" s="287">
        <v>0</v>
      </c>
      <c r="N117" s="287">
        <v>0</v>
      </c>
      <c r="O117" s="287">
        <v>10.093</v>
      </c>
      <c r="P117" s="287">
        <v>8.7999999999999995E-2</v>
      </c>
      <c r="Q117" s="287">
        <v>33.08</v>
      </c>
      <c r="R117" s="287">
        <v>3.6629999999999998</v>
      </c>
      <c r="S117" s="287">
        <v>0</v>
      </c>
      <c r="T117" s="287">
        <v>0</v>
      </c>
      <c r="U117" s="287">
        <v>0</v>
      </c>
      <c r="V117" s="287">
        <v>0</v>
      </c>
      <c r="W117" s="287">
        <v>36.743000000000002</v>
      </c>
      <c r="X117" s="287">
        <v>153.51900000000001</v>
      </c>
      <c r="Y117" s="286">
        <v>3497649.5819890001</v>
      </c>
      <c r="Z117" s="285" t="s">
        <v>633</v>
      </c>
    </row>
    <row r="118" spans="1:26" x14ac:dyDescent="0.25">
      <c r="A118" s="288" t="s">
        <v>324</v>
      </c>
      <c r="B118" s="285" t="s">
        <v>325</v>
      </c>
      <c r="C118" s="285" t="s">
        <v>696</v>
      </c>
      <c r="D118" s="286">
        <v>261062371</v>
      </c>
      <c r="E118" s="286">
        <v>0</v>
      </c>
      <c r="F118" s="286">
        <v>261062371</v>
      </c>
      <c r="G118" s="286">
        <v>0</v>
      </c>
      <c r="H118" s="287">
        <v>27</v>
      </c>
      <c r="I118" s="287">
        <v>0</v>
      </c>
      <c r="J118" s="287">
        <v>27</v>
      </c>
      <c r="K118" s="287">
        <v>0</v>
      </c>
      <c r="L118" s="287">
        <v>0</v>
      </c>
      <c r="M118" s="287">
        <v>0</v>
      </c>
      <c r="N118" s="287">
        <v>0</v>
      </c>
      <c r="O118" s="287">
        <v>9.1929999999999996</v>
      </c>
      <c r="P118" s="287">
        <v>0</v>
      </c>
      <c r="Q118" s="287">
        <v>36.192999999999998</v>
      </c>
      <c r="R118" s="287">
        <v>12.747</v>
      </c>
      <c r="S118" s="287">
        <v>0</v>
      </c>
      <c r="T118" s="287">
        <v>0</v>
      </c>
      <c r="U118" s="287">
        <v>0</v>
      </c>
      <c r="V118" s="287">
        <v>0</v>
      </c>
      <c r="W118" s="287">
        <v>48.94</v>
      </c>
      <c r="X118" s="287">
        <v>52.987000000000002</v>
      </c>
      <c r="Y118" s="286">
        <v>6977024.3885000004</v>
      </c>
      <c r="Z118" s="285" t="s">
        <v>633</v>
      </c>
    </row>
    <row r="119" spans="1:26" x14ac:dyDescent="0.25">
      <c r="A119" s="288" t="s">
        <v>327</v>
      </c>
      <c r="B119" s="285" t="s">
        <v>325</v>
      </c>
      <c r="C119" s="285" t="s">
        <v>695</v>
      </c>
      <c r="D119" s="286">
        <v>347639190</v>
      </c>
      <c r="E119" s="286">
        <v>0</v>
      </c>
      <c r="F119" s="286">
        <v>347639190</v>
      </c>
      <c r="G119" s="286">
        <v>77370</v>
      </c>
      <c r="H119" s="287">
        <v>27</v>
      </c>
      <c r="I119" s="287">
        <v>0</v>
      </c>
      <c r="J119" s="287">
        <v>27</v>
      </c>
      <c r="K119" s="287">
        <v>0</v>
      </c>
      <c r="L119" s="287">
        <v>0</v>
      </c>
      <c r="M119" s="287">
        <v>0</v>
      </c>
      <c r="N119" s="287">
        <v>0</v>
      </c>
      <c r="O119" s="287">
        <v>1.58</v>
      </c>
      <c r="P119" s="287">
        <v>0.223</v>
      </c>
      <c r="Q119" s="287">
        <v>28.803000000000001</v>
      </c>
      <c r="R119" s="287">
        <v>8.0890000000000004</v>
      </c>
      <c r="S119" s="287">
        <v>0</v>
      </c>
      <c r="T119" s="287">
        <v>0</v>
      </c>
      <c r="U119" s="287">
        <v>0</v>
      </c>
      <c r="V119" s="287">
        <v>0</v>
      </c>
      <c r="W119" s="287">
        <v>36.892000000000003</v>
      </c>
      <c r="X119" s="287">
        <v>94.376999999999995</v>
      </c>
      <c r="Y119" s="286">
        <v>24438785.701000001</v>
      </c>
      <c r="Z119" s="285" t="s">
        <v>633</v>
      </c>
    </row>
    <row r="120" spans="1:26" x14ac:dyDescent="0.25">
      <c r="A120" s="288" t="s">
        <v>329</v>
      </c>
      <c r="B120" s="285" t="s">
        <v>325</v>
      </c>
      <c r="C120" s="285" t="s">
        <v>694</v>
      </c>
      <c r="D120" s="286">
        <v>31692710</v>
      </c>
      <c r="E120" s="286">
        <v>0</v>
      </c>
      <c r="F120" s="286">
        <v>31692710</v>
      </c>
      <c r="G120" s="286">
        <v>2754.34</v>
      </c>
      <c r="H120" s="287">
        <v>27</v>
      </c>
      <c r="I120" s="287">
        <v>0</v>
      </c>
      <c r="J120" s="287">
        <v>27</v>
      </c>
      <c r="K120" s="287">
        <v>0</v>
      </c>
      <c r="L120" s="287">
        <v>0</v>
      </c>
      <c r="M120" s="287">
        <v>0.30299999999999999</v>
      </c>
      <c r="N120" s="287">
        <v>0</v>
      </c>
      <c r="O120" s="287">
        <v>0</v>
      </c>
      <c r="P120" s="287">
        <v>8.6999999999999994E-2</v>
      </c>
      <c r="Q120" s="287">
        <v>27.39</v>
      </c>
      <c r="R120" s="287">
        <v>13.5</v>
      </c>
      <c r="S120" s="287">
        <v>0</v>
      </c>
      <c r="T120" s="287">
        <v>0</v>
      </c>
      <c r="U120" s="287">
        <v>0</v>
      </c>
      <c r="V120" s="287">
        <v>0</v>
      </c>
      <c r="W120" s="287">
        <v>40.89</v>
      </c>
      <c r="X120" s="287">
        <v>107.947</v>
      </c>
      <c r="Y120" s="286">
        <v>2682880.0049999999</v>
      </c>
      <c r="Z120" s="285" t="s">
        <v>633</v>
      </c>
    </row>
    <row r="121" spans="1:26" x14ac:dyDescent="0.25">
      <c r="A121" s="288" t="s">
        <v>331</v>
      </c>
      <c r="B121" s="285" t="s">
        <v>325</v>
      </c>
      <c r="C121" s="285" t="s">
        <v>693</v>
      </c>
      <c r="D121" s="286">
        <v>516961960</v>
      </c>
      <c r="E121" s="286">
        <v>0</v>
      </c>
      <c r="F121" s="286">
        <v>516961960</v>
      </c>
      <c r="G121" s="286">
        <v>5769.75</v>
      </c>
      <c r="H121" s="287">
        <v>24.545000000000002</v>
      </c>
      <c r="I121" s="287">
        <v>0</v>
      </c>
      <c r="J121" s="287">
        <v>17.145</v>
      </c>
      <c r="K121" s="287">
        <v>0.69299999999999995</v>
      </c>
      <c r="L121" s="287">
        <v>6.7069999999999999</v>
      </c>
      <c r="M121" s="287">
        <v>0</v>
      </c>
      <c r="N121" s="287">
        <v>0</v>
      </c>
      <c r="O121" s="287">
        <v>0</v>
      </c>
      <c r="P121" s="287">
        <v>1.0999999999999999E-2</v>
      </c>
      <c r="Q121" s="287">
        <v>24.556000000000001</v>
      </c>
      <c r="R121" s="287">
        <v>12.5</v>
      </c>
      <c r="S121" s="287">
        <v>0</v>
      </c>
      <c r="T121" s="287">
        <v>0</v>
      </c>
      <c r="U121" s="287">
        <v>0</v>
      </c>
      <c r="V121" s="287">
        <v>0</v>
      </c>
      <c r="W121" s="287">
        <v>37.055999999999997</v>
      </c>
      <c r="X121" s="287">
        <v>17.305</v>
      </c>
      <c r="Y121" s="286">
        <v>318.36748736014101</v>
      </c>
      <c r="Z121" s="285" t="s">
        <v>633</v>
      </c>
    </row>
    <row r="122" spans="1:26" x14ac:dyDescent="0.25">
      <c r="A122" s="288" t="s">
        <v>333</v>
      </c>
      <c r="B122" s="285" t="s">
        <v>334</v>
      </c>
      <c r="C122" s="285" t="s">
        <v>692</v>
      </c>
      <c r="D122" s="286">
        <v>83433505</v>
      </c>
      <c r="E122" s="286">
        <v>2433227</v>
      </c>
      <c r="F122" s="286">
        <v>81000278</v>
      </c>
      <c r="G122" s="286">
        <v>29428.2</v>
      </c>
      <c r="H122" s="287">
        <v>27</v>
      </c>
      <c r="I122" s="287">
        <v>0</v>
      </c>
      <c r="J122" s="287">
        <v>27</v>
      </c>
      <c r="K122" s="287">
        <v>0</v>
      </c>
      <c r="L122" s="287">
        <v>0</v>
      </c>
      <c r="M122" s="287">
        <v>0</v>
      </c>
      <c r="N122" s="287">
        <v>0</v>
      </c>
      <c r="O122" s="287">
        <v>0</v>
      </c>
      <c r="P122" s="287">
        <v>0.36299999999999999</v>
      </c>
      <c r="Q122" s="287">
        <v>27.363</v>
      </c>
      <c r="R122" s="287">
        <v>5.4560000000000004</v>
      </c>
      <c r="S122" s="287">
        <v>0</v>
      </c>
      <c r="T122" s="287">
        <v>0</v>
      </c>
      <c r="U122" s="287">
        <v>0</v>
      </c>
      <c r="V122" s="287">
        <v>0</v>
      </c>
      <c r="W122" s="287">
        <v>32.819000000000003</v>
      </c>
      <c r="X122" s="287">
        <v>173.20099999999999</v>
      </c>
      <c r="Y122" s="286">
        <v>12804611.037599999</v>
      </c>
      <c r="Z122" s="285" t="s">
        <v>633</v>
      </c>
    </row>
    <row r="123" spans="1:26" x14ac:dyDescent="0.25">
      <c r="A123" s="288" t="s">
        <v>336</v>
      </c>
      <c r="B123" s="285" t="s">
        <v>334</v>
      </c>
      <c r="C123" s="285" t="s">
        <v>691</v>
      </c>
      <c r="D123" s="286">
        <v>36885639</v>
      </c>
      <c r="E123" s="286">
        <v>0</v>
      </c>
      <c r="F123" s="286">
        <v>36885639</v>
      </c>
      <c r="G123" s="286">
        <v>1106.19</v>
      </c>
      <c r="H123" s="287">
        <v>27</v>
      </c>
      <c r="I123" s="287">
        <v>0</v>
      </c>
      <c r="J123" s="287">
        <v>27</v>
      </c>
      <c r="K123" s="287">
        <v>0</v>
      </c>
      <c r="L123" s="287">
        <v>0</v>
      </c>
      <c r="M123" s="287">
        <v>0</v>
      </c>
      <c r="N123" s="287">
        <v>0</v>
      </c>
      <c r="O123" s="287">
        <v>0</v>
      </c>
      <c r="P123" s="287">
        <v>0.03</v>
      </c>
      <c r="Q123" s="287">
        <v>27.03</v>
      </c>
      <c r="R123" s="287">
        <v>8.1470000000000002</v>
      </c>
      <c r="S123" s="287">
        <v>0</v>
      </c>
      <c r="T123" s="287">
        <v>0</v>
      </c>
      <c r="U123" s="287">
        <v>0</v>
      </c>
      <c r="V123" s="287">
        <v>0</v>
      </c>
      <c r="W123" s="287">
        <v>35.177</v>
      </c>
      <c r="X123" s="287">
        <v>193.84200000000001</v>
      </c>
      <c r="Y123" s="286">
        <v>6862365.6442999998</v>
      </c>
      <c r="Z123" s="285" t="s">
        <v>633</v>
      </c>
    </row>
    <row r="124" spans="1:26" x14ac:dyDescent="0.25">
      <c r="A124" s="288" t="s">
        <v>338</v>
      </c>
      <c r="B124" s="285" t="s">
        <v>334</v>
      </c>
      <c r="C124" s="285" t="s">
        <v>690</v>
      </c>
      <c r="D124" s="286">
        <v>11110891</v>
      </c>
      <c r="E124" s="286">
        <v>0</v>
      </c>
      <c r="F124" s="286">
        <v>11110891</v>
      </c>
      <c r="G124" s="286">
        <v>5</v>
      </c>
      <c r="H124" s="287">
        <v>27</v>
      </c>
      <c r="I124" s="287">
        <v>2.2709999999999999</v>
      </c>
      <c r="J124" s="287">
        <v>24.728999999999999</v>
      </c>
      <c r="K124" s="287">
        <v>0</v>
      </c>
      <c r="L124" s="287">
        <v>0</v>
      </c>
      <c r="M124" s="287">
        <v>0</v>
      </c>
      <c r="N124" s="287">
        <v>0</v>
      </c>
      <c r="O124" s="287">
        <v>0</v>
      </c>
      <c r="P124" s="287">
        <v>0</v>
      </c>
      <c r="Q124" s="287">
        <v>24.728999999999999</v>
      </c>
      <c r="R124" s="287">
        <v>0</v>
      </c>
      <c r="S124" s="287">
        <v>0</v>
      </c>
      <c r="T124" s="287">
        <v>0</v>
      </c>
      <c r="U124" s="287">
        <v>0</v>
      </c>
      <c r="V124" s="287">
        <v>0</v>
      </c>
      <c r="W124" s="287">
        <v>24.728999999999999</v>
      </c>
      <c r="X124" s="287">
        <v>276.50099999999998</v>
      </c>
      <c r="Y124" s="286">
        <v>2940713.8951829998</v>
      </c>
      <c r="Z124" s="285" t="s">
        <v>633</v>
      </c>
    </row>
    <row r="125" spans="1:26" x14ac:dyDescent="0.25">
      <c r="A125" s="288" t="s">
        <v>340</v>
      </c>
      <c r="B125" s="285" t="s">
        <v>334</v>
      </c>
      <c r="C125" s="285" t="s">
        <v>689</v>
      </c>
      <c r="D125" s="286">
        <v>28103258</v>
      </c>
      <c r="E125" s="286">
        <v>0</v>
      </c>
      <c r="F125" s="286">
        <v>28103258</v>
      </c>
      <c r="G125" s="286">
        <v>249.84</v>
      </c>
      <c r="H125" s="287">
        <v>27</v>
      </c>
      <c r="I125" s="287">
        <v>0</v>
      </c>
      <c r="J125" s="287">
        <v>27</v>
      </c>
      <c r="K125" s="287">
        <v>0</v>
      </c>
      <c r="L125" s="287">
        <v>0</v>
      </c>
      <c r="M125" s="287">
        <v>0</v>
      </c>
      <c r="N125" s="287">
        <v>0</v>
      </c>
      <c r="O125" s="287">
        <v>0</v>
      </c>
      <c r="P125" s="287">
        <v>8.9999999999999993E-3</v>
      </c>
      <c r="Q125" s="287">
        <v>27.009</v>
      </c>
      <c r="R125" s="287">
        <v>13.324999999999999</v>
      </c>
      <c r="S125" s="287">
        <v>0</v>
      </c>
      <c r="T125" s="287">
        <v>0</v>
      </c>
      <c r="U125" s="287">
        <v>0</v>
      </c>
      <c r="V125" s="287">
        <v>0</v>
      </c>
      <c r="W125" s="287">
        <v>40.334000000000003</v>
      </c>
      <c r="X125" s="287">
        <v>154.88999999999999</v>
      </c>
      <c r="Y125" s="286">
        <v>3828327.3750999998</v>
      </c>
      <c r="Z125" s="285" t="s">
        <v>633</v>
      </c>
    </row>
    <row r="126" spans="1:26" x14ac:dyDescent="0.25">
      <c r="A126" s="288" t="s">
        <v>342</v>
      </c>
      <c r="B126" s="285" t="s">
        <v>334</v>
      </c>
      <c r="C126" s="285" t="s">
        <v>688</v>
      </c>
      <c r="D126" s="286">
        <v>8571918</v>
      </c>
      <c r="E126" s="286">
        <v>0</v>
      </c>
      <c r="F126" s="286">
        <v>8571918</v>
      </c>
      <c r="G126" s="286">
        <v>1034</v>
      </c>
      <c r="H126" s="287">
        <v>27</v>
      </c>
      <c r="I126" s="287">
        <v>0</v>
      </c>
      <c r="J126" s="287">
        <v>27</v>
      </c>
      <c r="K126" s="287">
        <v>0</v>
      </c>
      <c r="L126" s="287">
        <v>0</v>
      </c>
      <c r="M126" s="287">
        <v>0</v>
      </c>
      <c r="N126" s="287">
        <v>0</v>
      </c>
      <c r="O126" s="287">
        <v>0</v>
      </c>
      <c r="P126" s="287">
        <v>0</v>
      </c>
      <c r="Q126" s="287">
        <v>27</v>
      </c>
      <c r="R126" s="287">
        <v>0</v>
      </c>
      <c r="S126" s="287">
        <v>0</v>
      </c>
      <c r="T126" s="287">
        <v>0</v>
      </c>
      <c r="U126" s="287">
        <v>0</v>
      </c>
      <c r="V126" s="287">
        <v>0</v>
      </c>
      <c r="W126" s="287">
        <v>27</v>
      </c>
      <c r="X126" s="287">
        <v>390.44499999999999</v>
      </c>
      <c r="Y126" s="286">
        <v>3313804.2280999999</v>
      </c>
      <c r="Z126" s="285" t="s">
        <v>633</v>
      </c>
    </row>
    <row r="127" spans="1:26" x14ac:dyDescent="0.25">
      <c r="A127" s="288" t="s">
        <v>344</v>
      </c>
      <c r="B127" s="285" t="s">
        <v>334</v>
      </c>
      <c r="C127" s="285" t="s">
        <v>687</v>
      </c>
      <c r="D127" s="286">
        <v>21093909</v>
      </c>
      <c r="E127" s="286">
        <v>788267</v>
      </c>
      <c r="F127" s="286">
        <v>20305642</v>
      </c>
      <c r="G127" s="286">
        <v>0</v>
      </c>
      <c r="H127" s="287">
        <v>27</v>
      </c>
      <c r="I127" s="287">
        <v>2.0030000000000001</v>
      </c>
      <c r="J127" s="287">
        <v>24.997</v>
      </c>
      <c r="K127" s="287">
        <v>0</v>
      </c>
      <c r="L127" s="287">
        <v>0</v>
      </c>
      <c r="M127" s="287">
        <v>0</v>
      </c>
      <c r="N127" s="287">
        <v>0</v>
      </c>
      <c r="O127" s="287">
        <v>0.78100000000000003</v>
      </c>
      <c r="P127" s="287">
        <v>0</v>
      </c>
      <c r="Q127" s="287">
        <v>25.777999999999999</v>
      </c>
      <c r="R127" s="287">
        <v>9.2240000000000002</v>
      </c>
      <c r="S127" s="287">
        <v>0</v>
      </c>
      <c r="T127" s="287">
        <v>0</v>
      </c>
      <c r="U127" s="287">
        <v>0</v>
      </c>
      <c r="V127" s="287">
        <v>0</v>
      </c>
      <c r="W127" s="287">
        <v>35.002000000000002</v>
      </c>
      <c r="X127" s="287">
        <v>201.77099999999999</v>
      </c>
      <c r="Y127" s="286">
        <v>3790413.9295470002</v>
      </c>
      <c r="Z127" s="285" t="s">
        <v>633</v>
      </c>
    </row>
    <row r="128" spans="1:26" x14ac:dyDescent="0.25">
      <c r="A128" s="288" t="s">
        <v>346</v>
      </c>
      <c r="B128" s="285" t="s">
        <v>347</v>
      </c>
      <c r="C128" s="285" t="s">
        <v>686</v>
      </c>
      <c r="D128" s="286">
        <v>101251360</v>
      </c>
      <c r="E128" s="286">
        <v>0</v>
      </c>
      <c r="F128" s="286">
        <v>101251360</v>
      </c>
      <c r="G128" s="286">
        <v>16549.78</v>
      </c>
      <c r="H128" s="287">
        <v>27</v>
      </c>
      <c r="I128" s="287">
        <v>5.069</v>
      </c>
      <c r="J128" s="287">
        <v>21.931000000000001</v>
      </c>
      <c r="K128" s="287">
        <v>0</v>
      </c>
      <c r="L128" s="287">
        <v>0</v>
      </c>
      <c r="M128" s="287">
        <v>0</v>
      </c>
      <c r="N128" s="287">
        <v>0</v>
      </c>
      <c r="O128" s="287">
        <v>4.8739999999999997</v>
      </c>
      <c r="P128" s="287">
        <v>0.16300000000000001</v>
      </c>
      <c r="Q128" s="287">
        <v>26.968</v>
      </c>
      <c r="R128" s="287">
        <v>1.9339999999999999</v>
      </c>
      <c r="S128" s="287">
        <v>0</v>
      </c>
      <c r="T128" s="287">
        <v>0</v>
      </c>
      <c r="U128" s="287">
        <v>0</v>
      </c>
      <c r="V128" s="287">
        <v>0</v>
      </c>
      <c r="W128" s="287">
        <v>28.902000000000001</v>
      </c>
      <c r="X128" s="287">
        <v>30.803000000000001</v>
      </c>
      <c r="Y128" s="286">
        <v>934067.34745</v>
      </c>
      <c r="Z128" s="285" t="s">
        <v>633</v>
      </c>
    </row>
    <row r="129" spans="1:26" x14ac:dyDescent="0.25">
      <c r="A129" s="288" t="s">
        <v>348</v>
      </c>
      <c r="B129" s="285" t="s">
        <v>347</v>
      </c>
      <c r="C129" s="285" t="s">
        <v>685</v>
      </c>
      <c r="D129" s="286">
        <v>192543040</v>
      </c>
      <c r="E129" s="286">
        <v>0</v>
      </c>
      <c r="F129" s="286">
        <v>192543040</v>
      </c>
      <c r="G129" s="286">
        <v>5969</v>
      </c>
      <c r="H129" s="287">
        <v>21.643000000000001</v>
      </c>
      <c r="I129" s="287">
        <v>5.7149999999999999</v>
      </c>
      <c r="J129" s="287">
        <v>15.928000000000001</v>
      </c>
      <c r="K129" s="287">
        <v>0</v>
      </c>
      <c r="L129" s="287">
        <v>0</v>
      </c>
      <c r="M129" s="287">
        <v>0</v>
      </c>
      <c r="N129" s="287">
        <v>0</v>
      </c>
      <c r="O129" s="287">
        <v>7.06</v>
      </c>
      <c r="P129" s="287">
        <v>3.1009999999999999E-2</v>
      </c>
      <c r="Q129" s="287">
        <v>23.019010000000002</v>
      </c>
      <c r="R129" s="287">
        <v>6.2320000000000002</v>
      </c>
      <c r="S129" s="287">
        <v>0</v>
      </c>
      <c r="T129" s="287">
        <v>0</v>
      </c>
      <c r="U129" s="287">
        <v>0</v>
      </c>
      <c r="V129" s="287">
        <v>0</v>
      </c>
      <c r="W129" s="287">
        <v>29.251010000000001</v>
      </c>
      <c r="X129" s="287">
        <v>22.949000000000002</v>
      </c>
      <c r="Y129" s="286">
        <v>1397835.03354</v>
      </c>
      <c r="Z129" s="285" t="s">
        <v>633</v>
      </c>
    </row>
    <row r="130" spans="1:26" x14ac:dyDescent="0.25">
      <c r="A130" s="288" t="s">
        <v>350</v>
      </c>
      <c r="B130" s="285" t="s">
        <v>351</v>
      </c>
      <c r="C130" s="285" t="s">
        <v>684</v>
      </c>
      <c r="D130" s="286">
        <v>231662113</v>
      </c>
      <c r="E130" s="286">
        <v>0</v>
      </c>
      <c r="F130" s="286">
        <v>231662113</v>
      </c>
      <c r="G130" s="286">
        <v>3653.84</v>
      </c>
      <c r="H130" s="287">
        <v>27</v>
      </c>
      <c r="I130" s="287">
        <v>6.3380000000000001</v>
      </c>
      <c r="J130" s="287">
        <v>20.661999999999999</v>
      </c>
      <c r="K130" s="287">
        <v>0</v>
      </c>
      <c r="L130" s="287">
        <v>0</v>
      </c>
      <c r="M130" s="287">
        <v>0</v>
      </c>
      <c r="N130" s="287">
        <v>0</v>
      </c>
      <c r="O130" s="287">
        <v>3.1869999999999998</v>
      </c>
      <c r="P130" s="287">
        <v>1.6E-2</v>
      </c>
      <c r="Q130" s="287">
        <v>23.864999999999998</v>
      </c>
      <c r="R130" s="287">
        <v>4.51</v>
      </c>
      <c r="S130" s="287">
        <v>0</v>
      </c>
      <c r="T130" s="287">
        <v>0</v>
      </c>
      <c r="U130" s="287">
        <v>0</v>
      </c>
      <c r="V130" s="287">
        <v>0</v>
      </c>
      <c r="W130" s="287">
        <v>28.375</v>
      </c>
      <c r="X130" s="287">
        <v>34.058</v>
      </c>
      <c r="Y130" s="286">
        <v>3306493.5741940001</v>
      </c>
      <c r="Z130" s="285" t="s">
        <v>633</v>
      </c>
    </row>
    <row r="131" spans="1:26" x14ac:dyDescent="0.25">
      <c r="A131" s="288" t="s">
        <v>353</v>
      </c>
      <c r="B131" s="285" t="s">
        <v>351</v>
      </c>
      <c r="C131" s="285" t="s">
        <v>683</v>
      </c>
      <c r="D131" s="286">
        <v>616413089</v>
      </c>
      <c r="E131" s="286">
        <v>0</v>
      </c>
      <c r="F131" s="286">
        <v>616413089</v>
      </c>
      <c r="G131" s="286">
        <v>24485.64</v>
      </c>
      <c r="H131" s="287">
        <v>12.173</v>
      </c>
      <c r="I131" s="287">
        <v>0</v>
      </c>
      <c r="J131" s="287">
        <v>12.173</v>
      </c>
      <c r="K131" s="287">
        <v>0</v>
      </c>
      <c r="L131" s="287">
        <v>0</v>
      </c>
      <c r="M131" s="287">
        <v>0.89400000000000002</v>
      </c>
      <c r="N131" s="287">
        <v>0</v>
      </c>
      <c r="O131" s="287">
        <v>3.0859999999999999</v>
      </c>
      <c r="P131" s="287">
        <v>0.04</v>
      </c>
      <c r="Q131" s="287">
        <v>16.193000000000001</v>
      </c>
      <c r="R131" s="287">
        <v>1.014</v>
      </c>
      <c r="S131" s="287">
        <v>0</v>
      </c>
      <c r="T131" s="287">
        <v>0</v>
      </c>
      <c r="U131" s="287">
        <v>0</v>
      </c>
      <c r="V131" s="287">
        <v>0</v>
      </c>
      <c r="W131" s="287">
        <v>17.207000000000001</v>
      </c>
      <c r="X131" s="287">
        <v>9.5250000000000004</v>
      </c>
      <c r="Y131" s="286">
        <v>0</v>
      </c>
      <c r="Z131" s="285" t="s">
        <v>633</v>
      </c>
    </row>
    <row r="132" spans="1:26" x14ac:dyDescent="0.25">
      <c r="A132" s="288" t="s">
        <v>354</v>
      </c>
      <c r="B132" s="285" t="s">
        <v>355</v>
      </c>
      <c r="C132" s="285" t="s">
        <v>682</v>
      </c>
      <c r="D132" s="286">
        <v>82190030</v>
      </c>
      <c r="E132" s="286">
        <v>0</v>
      </c>
      <c r="F132" s="286">
        <v>82190030</v>
      </c>
      <c r="G132" s="286">
        <v>6158.75</v>
      </c>
      <c r="H132" s="287">
        <v>27</v>
      </c>
      <c r="I132" s="287">
        <v>0</v>
      </c>
      <c r="J132" s="287">
        <v>27</v>
      </c>
      <c r="K132" s="287">
        <v>0</v>
      </c>
      <c r="L132" s="287">
        <v>0</v>
      </c>
      <c r="M132" s="287">
        <v>0</v>
      </c>
      <c r="N132" s="287">
        <v>0</v>
      </c>
      <c r="O132" s="287">
        <v>7</v>
      </c>
      <c r="P132" s="287">
        <v>7.4999999999999997E-2</v>
      </c>
      <c r="Q132" s="287">
        <v>34.075000000000003</v>
      </c>
      <c r="R132" s="287">
        <v>3.31</v>
      </c>
      <c r="S132" s="287">
        <v>0</v>
      </c>
      <c r="T132" s="287">
        <v>0</v>
      </c>
      <c r="U132" s="287">
        <v>0</v>
      </c>
      <c r="V132" s="287">
        <v>0</v>
      </c>
      <c r="W132" s="287">
        <v>37.384999999999998</v>
      </c>
      <c r="X132" s="287">
        <v>75.903000000000006</v>
      </c>
      <c r="Y132" s="286">
        <v>4180239.4808</v>
      </c>
      <c r="Z132" s="285" t="s">
        <v>633</v>
      </c>
    </row>
    <row r="133" spans="1:26" x14ac:dyDescent="0.25">
      <c r="A133" s="288" t="s">
        <v>357</v>
      </c>
      <c r="B133" s="285" t="s">
        <v>355</v>
      </c>
      <c r="C133" s="285" t="s">
        <v>681</v>
      </c>
      <c r="D133" s="286">
        <v>35127796</v>
      </c>
      <c r="E133" s="286">
        <v>0</v>
      </c>
      <c r="F133" s="286">
        <v>35127796</v>
      </c>
      <c r="G133" s="286">
        <v>3478</v>
      </c>
      <c r="H133" s="287">
        <v>27</v>
      </c>
      <c r="I133" s="287">
        <v>0</v>
      </c>
      <c r="J133" s="287">
        <v>27</v>
      </c>
      <c r="K133" s="287">
        <v>0</v>
      </c>
      <c r="L133" s="287">
        <v>0</v>
      </c>
      <c r="M133" s="287">
        <v>0</v>
      </c>
      <c r="N133" s="287">
        <v>0</v>
      </c>
      <c r="O133" s="287">
        <v>5</v>
      </c>
      <c r="P133" s="287">
        <v>9.9000000000000005E-2</v>
      </c>
      <c r="Q133" s="287">
        <v>32.098999999999997</v>
      </c>
      <c r="R133" s="287">
        <v>7.2039999999999997</v>
      </c>
      <c r="S133" s="287">
        <v>0</v>
      </c>
      <c r="T133" s="287">
        <v>0</v>
      </c>
      <c r="U133" s="287">
        <v>0</v>
      </c>
      <c r="V133" s="287">
        <v>0</v>
      </c>
      <c r="W133" s="287">
        <v>39.302999999999997</v>
      </c>
      <c r="X133" s="287">
        <v>106.164</v>
      </c>
      <c r="Y133" s="286">
        <v>2925976.4547999999</v>
      </c>
      <c r="Z133" s="285" t="s">
        <v>633</v>
      </c>
    </row>
    <row r="134" spans="1:26" x14ac:dyDescent="0.25">
      <c r="A134" s="288" t="s">
        <v>359</v>
      </c>
      <c r="B134" s="285" t="s">
        <v>360</v>
      </c>
      <c r="C134" s="285" t="s">
        <v>680</v>
      </c>
      <c r="D134" s="286">
        <v>5353427630</v>
      </c>
      <c r="E134" s="286">
        <v>0</v>
      </c>
      <c r="F134" s="286">
        <v>5353427630</v>
      </c>
      <c r="G134" s="286">
        <v>23095.46</v>
      </c>
      <c r="H134" s="287">
        <v>4.4119999999999999</v>
      </c>
      <c r="I134" s="287">
        <v>0</v>
      </c>
      <c r="J134" s="287">
        <v>4.0069999999999997</v>
      </c>
      <c r="K134" s="287">
        <v>0.17299999999999999</v>
      </c>
      <c r="L134" s="287">
        <v>0.23200000000000001</v>
      </c>
      <c r="M134" s="287">
        <v>0.13300000000000001</v>
      </c>
      <c r="N134" s="287">
        <v>0</v>
      </c>
      <c r="O134" s="287">
        <v>1.2490000000000001</v>
      </c>
      <c r="P134" s="287">
        <v>4.0000000000000001E-3</v>
      </c>
      <c r="Q134" s="287">
        <v>5.798</v>
      </c>
      <c r="R134" s="287">
        <v>1.494</v>
      </c>
      <c r="S134" s="287">
        <v>0</v>
      </c>
      <c r="T134" s="287">
        <v>0</v>
      </c>
      <c r="U134" s="287">
        <v>0</v>
      </c>
      <c r="V134" s="287">
        <v>0</v>
      </c>
      <c r="W134" s="287">
        <v>7.2919999999999998</v>
      </c>
      <c r="X134" s="287">
        <v>3.7240000000000002</v>
      </c>
      <c r="Y134" s="286">
        <v>1619.99208071514</v>
      </c>
      <c r="Z134" s="285" t="s">
        <v>633</v>
      </c>
    </row>
    <row r="135" spans="1:26" x14ac:dyDescent="0.25">
      <c r="A135" s="288" t="s">
        <v>362</v>
      </c>
      <c r="B135" s="285" t="s">
        <v>363</v>
      </c>
      <c r="C135" s="285" t="s">
        <v>679</v>
      </c>
      <c r="D135" s="286">
        <v>17324312</v>
      </c>
      <c r="E135" s="286">
        <v>0</v>
      </c>
      <c r="F135" s="286">
        <v>17324312</v>
      </c>
      <c r="G135" s="286">
        <v>3868</v>
      </c>
      <c r="H135" s="287">
        <v>27</v>
      </c>
      <c r="I135" s="287">
        <v>0</v>
      </c>
      <c r="J135" s="287">
        <v>27</v>
      </c>
      <c r="K135" s="287">
        <v>0</v>
      </c>
      <c r="L135" s="287">
        <v>0</v>
      </c>
      <c r="M135" s="287">
        <v>0</v>
      </c>
      <c r="N135" s="287">
        <v>0</v>
      </c>
      <c r="O135" s="287">
        <v>0</v>
      </c>
      <c r="P135" s="287">
        <v>0.219</v>
      </c>
      <c r="Q135" s="287">
        <v>27.219000000000001</v>
      </c>
      <c r="R135" s="287">
        <v>0</v>
      </c>
      <c r="S135" s="287">
        <v>0</v>
      </c>
      <c r="T135" s="287">
        <v>0</v>
      </c>
      <c r="U135" s="287">
        <v>0</v>
      </c>
      <c r="V135" s="287">
        <v>0</v>
      </c>
      <c r="W135" s="287">
        <v>27.219000000000001</v>
      </c>
      <c r="X135" s="287">
        <v>190.959</v>
      </c>
      <c r="Y135" s="286">
        <v>2900197.0414</v>
      </c>
      <c r="Z135" s="285" t="s">
        <v>633</v>
      </c>
    </row>
    <row r="136" spans="1:26" x14ac:dyDescent="0.25">
      <c r="A136" s="288" t="s">
        <v>365</v>
      </c>
      <c r="B136" s="285" t="s">
        <v>363</v>
      </c>
      <c r="C136" s="285" t="s">
        <v>678</v>
      </c>
      <c r="D136" s="286">
        <v>94321259</v>
      </c>
      <c r="E136" s="286">
        <v>3602894</v>
      </c>
      <c r="F136" s="286">
        <v>90718365</v>
      </c>
      <c r="G136" s="286">
        <v>11870</v>
      </c>
      <c r="H136" s="287">
        <v>27</v>
      </c>
      <c r="I136" s="287">
        <v>4.4050000000000002</v>
      </c>
      <c r="J136" s="287">
        <v>22.594999999999999</v>
      </c>
      <c r="K136" s="287">
        <v>0</v>
      </c>
      <c r="L136" s="287">
        <v>0</v>
      </c>
      <c r="M136" s="287">
        <v>0</v>
      </c>
      <c r="N136" s="287">
        <v>0</v>
      </c>
      <c r="O136" s="287">
        <v>0</v>
      </c>
      <c r="P136" s="287">
        <v>0.13100000000000001</v>
      </c>
      <c r="Q136" s="287">
        <v>22.725999999999999</v>
      </c>
      <c r="R136" s="287">
        <v>3.5830000000000002</v>
      </c>
      <c r="S136" s="287">
        <v>0</v>
      </c>
      <c r="T136" s="287">
        <v>0</v>
      </c>
      <c r="U136" s="287">
        <v>0</v>
      </c>
      <c r="V136" s="287">
        <v>0</v>
      </c>
      <c r="W136" s="287">
        <v>26.309000000000001</v>
      </c>
      <c r="X136" s="287">
        <v>160.01400000000001</v>
      </c>
      <c r="Y136" s="286">
        <v>13424617.25649</v>
      </c>
      <c r="Z136" s="285" t="s">
        <v>633</v>
      </c>
    </row>
    <row r="137" spans="1:26" x14ac:dyDescent="0.25">
      <c r="A137" s="288" t="s">
        <v>367</v>
      </c>
      <c r="B137" s="285" t="s">
        <v>363</v>
      </c>
      <c r="C137" s="285" t="s">
        <v>677</v>
      </c>
      <c r="D137" s="286">
        <v>28860778</v>
      </c>
      <c r="E137" s="286">
        <v>0</v>
      </c>
      <c r="F137" s="286">
        <v>28860778</v>
      </c>
      <c r="G137" s="286">
        <v>5511</v>
      </c>
      <c r="H137" s="287">
        <v>27</v>
      </c>
      <c r="I137" s="287">
        <v>0</v>
      </c>
      <c r="J137" s="287">
        <v>27</v>
      </c>
      <c r="K137" s="287">
        <v>0</v>
      </c>
      <c r="L137" s="287">
        <v>0</v>
      </c>
      <c r="M137" s="287">
        <v>0</v>
      </c>
      <c r="N137" s="287">
        <v>0</v>
      </c>
      <c r="O137" s="287">
        <v>0</v>
      </c>
      <c r="P137" s="287">
        <v>0.191</v>
      </c>
      <c r="Q137" s="287">
        <v>27.190999999999999</v>
      </c>
      <c r="R137" s="287">
        <v>8.7620000000000005</v>
      </c>
      <c r="S137" s="287">
        <v>0</v>
      </c>
      <c r="T137" s="287">
        <v>0</v>
      </c>
      <c r="U137" s="287">
        <v>0</v>
      </c>
      <c r="V137" s="287">
        <v>0</v>
      </c>
      <c r="W137" s="287">
        <v>35.953000000000003</v>
      </c>
      <c r="X137" s="287">
        <v>122.26300000000001</v>
      </c>
      <c r="Y137" s="286">
        <v>2829858.5712000001</v>
      </c>
      <c r="Z137" s="285" t="s">
        <v>633</v>
      </c>
    </row>
    <row r="138" spans="1:26" x14ac:dyDescent="0.25">
      <c r="A138" s="288" t="s">
        <v>369</v>
      </c>
      <c r="B138" s="285" t="s">
        <v>363</v>
      </c>
      <c r="C138" s="285" t="s">
        <v>676</v>
      </c>
      <c r="D138" s="286">
        <v>13310629</v>
      </c>
      <c r="E138" s="286">
        <v>0</v>
      </c>
      <c r="F138" s="286">
        <v>13310629</v>
      </c>
      <c r="G138" s="286">
        <v>2087.88</v>
      </c>
      <c r="H138" s="287">
        <v>27</v>
      </c>
      <c r="I138" s="287">
        <v>0</v>
      </c>
      <c r="J138" s="287">
        <v>27</v>
      </c>
      <c r="K138" s="287">
        <v>0</v>
      </c>
      <c r="L138" s="287">
        <v>0</v>
      </c>
      <c r="M138" s="287">
        <v>0</v>
      </c>
      <c r="N138" s="287">
        <v>0</v>
      </c>
      <c r="O138" s="287">
        <v>0</v>
      </c>
      <c r="P138" s="287">
        <v>0.157</v>
      </c>
      <c r="Q138" s="287">
        <v>27.157</v>
      </c>
      <c r="R138" s="287">
        <v>0</v>
      </c>
      <c r="S138" s="287">
        <v>0</v>
      </c>
      <c r="T138" s="287">
        <v>0</v>
      </c>
      <c r="U138" s="287">
        <v>0</v>
      </c>
      <c r="V138" s="287">
        <v>0</v>
      </c>
      <c r="W138" s="287">
        <v>27.157</v>
      </c>
      <c r="X138" s="287">
        <v>257.697</v>
      </c>
      <c r="Y138" s="286">
        <v>3254130.2656999999</v>
      </c>
      <c r="Z138" s="285" t="s">
        <v>633</v>
      </c>
    </row>
    <row r="139" spans="1:26" x14ac:dyDescent="0.25">
      <c r="A139" s="288" t="s">
        <v>371</v>
      </c>
      <c r="B139" s="285" t="s">
        <v>372</v>
      </c>
      <c r="C139" s="285" t="s">
        <v>675</v>
      </c>
      <c r="D139" s="286">
        <v>1311018221</v>
      </c>
      <c r="E139" s="286">
        <v>78329032</v>
      </c>
      <c r="F139" s="286">
        <v>1232689189</v>
      </c>
      <c r="G139" s="286">
        <v>945854.64</v>
      </c>
      <c r="H139" s="287">
        <v>27</v>
      </c>
      <c r="I139" s="287">
        <v>0</v>
      </c>
      <c r="J139" s="287">
        <v>27</v>
      </c>
      <c r="K139" s="287">
        <v>0</v>
      </c>
      <c r="L139" s="287">
        <v>0</v>
      </c>
      <c r="M139" s="287">
        <v>0</v>
      </c>
      <c r="N139" s="287">
        <v>0</v>
      </c>
      <c r="O139" s="287">
        <v>0</v>
      </c>
      <c r="P139" s="287">
        <v>0.76700000000000002</v>
      </c>
      <c r="Q139" s="287">
        <v>27.766999999999999</v>
      </c>
      <c r="R139" s="287">
        <v>13.7</v>
      </c>
      <c r="S139" s="287">
        <v>0</v>
      </c>
      <c r="T139" s="287">
        <v>0</v>
      </c>
      <c r="U139" s="287">
        <v>0</v>
      </c>
      <c r="V139" s="287">
        <v>0</v>
      </c>
      <c r="W139" s="287">
        <v>41.466999999999999</v>
      </c>
      <c r="X139" s="287">
        <v>115.15600000000001</v>
      </c>
      <c r="Y139" s="286">
        <v>119623690.06640001</v>
      </c>
      <c r="Z139" s="285" t="s">
        <v>633</v>
      </c>
    </row>
    <row r="140" spans="1:26" x14ac:dyDescent="0.25">
      <c r="A140" s="288" t="s">
        <v>374</v>
      </c>
      <c r="B140" s="285" t="s">
        <v>372</v>
      </c>
      <c r="C140" s="285" t="s">
        <v>674</v>
      </c>
      <c r="D140" s="286">
        <v>1026232499</v>
      </c>
      <c r="E140" s="286">
        <v>20516818</v>
      </c>
      <c r="F140" s="286">
        <v>1005715681</v>
      </c>
      <c r="G140" s="286">
        <v>185781</v>
      </c>
      <c r="H140" s="287">
        <v>27</v>
      </c>
      <c r="I140" s="287">
        <v>0</v>
      </c>
      <c r="J140" s="287">
        <v>27</v>
      </c>
      <c r="K140" s="287">
        <v>0</v>
      </c>
      <c r="L140" s="287">
        <v>0</v>
      </c>
      <c r="M140" s="287">
        <v>0</v>
      </c>
      <c r="N140" s="287">
        <v>0</v>
      </c>
      <c r="O140" s="287">
        <v>0</v>
      </c>
      <c r="P140" s="287">
        <v>0.185</v>
      </c>
      <c r="Q140" s="287">
        <v>27.184999999999999</v>
      </c>
      <c r="R140" s="287">
        <v>12.962999999999999</v>
      </c>
      <c r="S140" s="287">
        <v>0</v>
      </c>
      <c r="T140" s="287">
        <v>0</v>
      </c>
      <c r="U140" s="287">
        <v>0</v>
      </c>
      <c r="V140" s="287">
        <v>0</v>
      </c>
      <c r="W140" s="287">
        <v>40.148000000000003</v>
      </c>
      <c r="X140" s="287">
        <v>95.031999999999996</v>
      </c>
      <c r="Y140" s="286">
        <v>72643014.700200006</v>
      </c>
      <c r="Z140" s="285" t="s">
        <v>633</v>
      </c>
    </row>
    <row r="141" spans="1:26" x14ac:dyDescent="0.25">
      <c r="A141" s="288" t="s">
        <v>376</v>
      </c>
      <c r="B141" s="285" t="s">
        <v>377</v>
      </c>
      <c r="C141" s="285" t="s">
        <v>673</v>
      </c>
      <c r="D141" s="286">
        <v>662628890</v>
      </c>
      <c r="E141" s="286">
        <v>0</v>
      </c>
      <c r="F141" s="286">
        <v>662628890</v>
      </c>
      <c r="G141" s="286">
        <v>6.03</v>
      </c>
      <c r="H141" s="287">
        <v>5.7670000000000003</v>
      </c>
      <c r="I141" s="287">
        <v>0</v>
      </c>
      <c r="J141" s="287">
        <v>5.7670000000000003</v>
      </c>
      <c r="K141" s="287">
        <v>0</v>
      </c>
      <c r="L141" s="287">
        <v>0</v>
      </c>
      <c r="M141" s="287">
        <v>0</v>
      </c>
      <c r="N141" s="287">
        <v>0</v>
      </c>
      <c r="O141" s="287">
        <v>0.61</v>
      </c>
      <c r="P141" s="287">
        <v>0</v>
      </c>
      <c r="Q141" s="287">
        <v>6.3769999999999998</v>
      </c>
      <c r="R141" s="287">
        <v>6.9420000000000002</v>
      </c>
      <c r="S141" s="287">
        <v>0</v>
      </c>
      <c r="T141" s="287">
        <v>0</v>
      </c>
      <c r="U141" s="287">
        <v>0</v>
      </c>
      <c r="V141" s="287">
        <v>0</v>
      </c>
      <c r="W141" s="287">
        <v>13.319000000000001</v>
      </c>
      <c r="X141" s="287">
        <v>11.077999999999999</v>
      </c>
      <c r="Y141" s="286">
        <v>3546456.5342399999</v>
      </c>
      <c r="Z141" s="285" t="s">
        <v>633</v>
      </c>
    </row>
    <row r="142" spans="1:26" x14ac:dyDescent="0.25">
      <c r="A142" s="288" t="s">
        <v>379</v>
      </c>
      <c r="B142" s="285" t="s">
        <v>377</v>
      </c>
      <c r="C142" s="285" t="s">
        <v>672</v>
      </c>
      <c r="D142" s="286">
        <v>352174830</v>
      </c>
      <c r="E142" s="286">
        <v>0</v>
      </c>
      <c r="F142" s="286">
        <v>352174830</v>
      </c>
      <c r="G142" s="286">
        <v>47.36</v>
      </c>
      <c r="H142" s="287">
        <v>6.1429999999999998</v>
      </c>
      <c r="I142" s="287">
        <v>1.0269999999999999</v>
      </c>
      <c r="J142" s="287">
        <v>5.1159999999999997</v>
      </c>
      <c r="K142" s="287">
        <v>0</v>
      </c>
      <c r="L142" s="287">
        <v>0</v>
      </c>
      <c r="M142" s="287">
        <v>1.9059999999999999</v>
      </c>
      <c r="N142" s="287">
        <v>0</v>
      </c>
      <c r="O142" s="287">
        <v>2.67</v>
      </c>
      <c r="P142" s="287">
        <v>0</v>
      </c>
      <c r="Q142" s="287">
        <v>9.6920000000000002</v>
      </c>
      <c r="R142" s="287">
        <v>0</v>
      </c>
      <c r="S142" s="287">
        <v>0.96499999999999997</v>
      </c>
      <c r="T142" s="287">
        <v>0</v>
      </c>
      <c r="U142" s="287">
        <v>0</v>
      </c>
      <c r="V142" s="287">
        <v>0</v>
      </c>
      <c r="W142" s="287">
        <v>10.657</v>
      </c>
      <c r="X142" s="287">
        <v>14.731999999999999</v>
      </c>
      <c r="Y142" s="286">
        <v>3412695.6232799999</v>
      </c>
      <c r="Z142" s="285" t="s">
        <v>633</v>
      </c>
    </row>
    <row r="143" spans="1:26" x14ac:dyDescent="0.25">
      <c r="A143" s="288" t="s">
        <v>381</v>
      </c>
      <c r="B143" s="285" t="s">
        <v>382</v>
      </c>
      <c r="C143" s="285" t="s">
        <v>671</v>
      </c>
      <c r="D143" s="286">
        <v>111478006</v>
      </c>
      <c r="E143" s="286">
        <v>0</v>
      </c>
      <c r="F143" s="286">
        <v>111478006</v>
      </c>
      <c r="G143" s="286">
        <v>6708.34</v>
      </c>
      <c r="H143" s="287">
        <v>27</v>
      </c>
      <c r="I143" s="287">
        <v>7.6920000000000002</v>
      </c>
      <c r="J143" s="287">
        <v>19.308</v>
      </c>
      <c r="K143" s="287">
        <v>0</v>
      </c>
      <c r="L143" s="287">
        <v>0</v>
      </c>
      <c r="M143" s="287">
        <v>0</v>
      </c>
      <c r="N143" s="287">
        <v>0</v>
      </c>
      <c r="O143" s="287">
        <v>9</v>
      </c>
      <c r="P143" s="287">
        <v>0.06</v>
      </c>
      <c r="Q143" s="287">
        <v>28.367999999999999</v>
      </c>
      <c r="R143" s="287">
        <v>11.776999999999999</v>
      </c>
      <c r="S143" s="287">
        <v>0</v>
      </c>
      <c r="T143" s="287">
        <v>0</v>
      </c>
      <c r="U143" s="287">
        <v>0</v>
      </c>
      <c r="V143" s="287">
        <v>0</v>
      </c>
      <c r="W143" s="287">
        <v>40.145000000000003</v>
      </c>
      <c r="X143" s="287">
        <v>39.651000000000003</v>
      </c>
      <c r="Y143" s="286">
        <v>2461371.6294</v>
      </c>
      <c r="Z143" s="285" t="s">
        <v>633</v>
      </c>
    </row>
    <row r="144" spans="1:26" x14ac:dyDescent="0.25">
      <c r="A144" s="288" t="s">
        <v>384</v>
      </c>
      <c r="B144" s="285" t="s">
        <v>382</v>
      </c>
      <c r="C144" s="285" t="s">
        <v>670</v>
      </c>
      <c r="D144" s="286">
        <v>73085884</v>
      </c>
      <c r="E144" s="286">
        <v>0</v>
      </c>
      <c r="F144" s="286">
        <v>73085884</v>
      </c>
      <c r="G144" s="286">
        <v>9937.7999999999993</v>
      </c>
      <c r="H144" s="287">
        <v>27</v>
      </c>
      <c r="I144" s="287">
        <v>0</v>
      </c>
      <c r="J144" s="287">
        <v>27</v>
      </c>
      <c r="K144" s="287">
        <v>0</v>
      </c>
      <c r="L144" s="287">
        <v>0</v>
      </c>
      <c r="M144" s="287">
        <v>0</v>
      </c>
      <c r="N144" s="287">
        <v>0</v>
      </c>
      <c r="O144" s="287">
        <v>2.6680000000000001</v>
      </c>
      <c r="P144" s="287">
        <v>0.13600000000000001</v>
      </c>
      <c r="Q144" s="287">
        <v>29.803999999999998</v>
      </c>
      <c r="R144" s="287">
        <v>7.8970000000000002</v>
      </c>
      <c r="S144" s="287">
        <v>0</v>
      </c>
      <c r="T144" s="287">
        <v>0</v>
      </c>
      <c r="U144" s="287">
        <v>0</v>
      </c>
      <c r="V144" s="287">
        <v>0</v>
      </c>
      <c r="W144" s="287">
        <v>37.701000000000001</v>
      </c>
      <c r="X144" s="287">
        <v>137.733</v>
      </c>
      <c r="Y144" s="286">
        <v>8866024.3892999999</v>
      </c>
      <c r="Z144" s="285" t="s">
        <v>633</v>
      </c>
    </row>
    <row r="145" spans="1:26" x14ac:dyDescent="0.25">
      <c r="A145" s="288" t="s">
        <v>386</v>
      </c>
      <c r="B145" s="285" t="s">
        <v>382</v>
      </c>
      <c r="C145" s="285" t="s">
        <v>669</v>
      </c>
      <c r="D145" s="286">
        <v>43507977</v>
      </c>
      <c r="E145" s="286">
        <v>0</v>
      </c>
      <c r="F145" s="286">
        <v>43507977</v>
      </c>
      <c r="G145" s="286">
        <v>0</v>
      </c>
      <c r="H145" s="287">
        <v>27</v>
      </c>
      <c r="I145" s="287">
        <v>0</v>
      </c>
      <c r="J145" s="287">
        <v>27</v>
      </c>
      <c r="K145" s="287">
        <v>0</v>
      </c>
      <c r="L145" s="287">
        <v>0</v>
      </c>
      <c r="M145" s="287">
        <v>0</v>
      </c>
      <c r="N145" s="287">
        <v>0</v>
      </c>
      <c r="O145" s="287">
        <v>1.724</v>
      </c>
      <c r="P145" s="287">
        <v>0</v>
      </c>
      <c r="Q145" s="287">
        <v>28.724</v>
      </c>
      <c r="R145" s="287">
        <v>8.9169999999999998</v>
      </c>
      <c r="S145" s="287">
        <v>0</v>
      </c>
      <c r="T145" s="287">
        <v>0</v>
      </c>
      <c r="U145" s="287">
        <v>0</v>
      </c>
      <c r="V145" s="287">
        <v>0</v>
      </c>
      <c r="W145" s="287">
        <v>37.640999999999998</v>
      </c>
      <c r="X145" s="287">
        <v>95.088999999999999</v>
      </c>
      <c r="Y145" s="286">
        <v>3039526.1597000002</v>
      </c>
      <c r="Z145" s="285" t="s">
        <v>633</v>
      </c>
    </row>
    <row r="146" spans="1:26" x14ac:dyDescent="0.25">
      <c r="A146" s="288" t="s">
        <v>388</v>
      </c>
      <c r="B146" s="285" t="s">
        <v>389</v>
      </c>
      <c r="C146" s="285" t="s">
        <v>668</v>
      </c>
      <c r="D146" s="286">
        <v>146368670</v>
      </c>
      <c r="E146" s="286">
        <v>0</v>
      </c>
      <c r="F146" s="286">
        <v>146368670</v>
      </c>
      <c r="G146" s="286">
        <v>41140.1</v>
      </c>
      <c r="H146" s="287">
        <v>27</v>
      </c>
      <c r="I146" s="287">
        <v>3.4140000000000001</v>
      </c>
      <c r="J146" s="287">
        <v>23.585999999999999</v>
      </c>
      <c r="K146" s="287">
        <v>0</v>
      </c>
      <c r="L146" s="287">
        <v>0</v>
      </c>
      <c r="M146" s="287">
        <v>0</v>
      </c>
      <c r="N146" s="287">
        <v>0</v>
      </c>
      <c r="O146" s="287">
        <v>6.1859999999999999</v>
      </c>
      <c r="P146" s="287">
        <v>0.28100000000000003</v>
      </c>
      <c r="Q146" s="287">
        <v>30.053000000000001</v>
      </c>
      <c r="R146" s="287">
        <v>13.288</v>
      </c>
      <c r="S146" s="287">
        <v>0</v>
      </c>
      <c r="T146" s="287">
        <v>0</v>
      </c>
      <c r="U146" s="287">
        <v>0</v>
      </c>
      <c r="V146" s="287">
        <v>0</v>
      </c>
      <c r="W146" s="287">
        <v>43.341000000000001</v>
      </c>
      <c r="X146" s="287">
        <v>35.36</v>
      </c>
      <c r="Y146" s="286">
        <v>1768964.5347800001</v>
      </c>
      <c r="Z146" s="285" t="s">
        <v>633</v>
      </c>
    </row>
    <row r="147" spans="1:26" x14ac:dyDescent="0.25">
      <c r="A147" s="288" t="s">
        <v>391</v>
      </c>
      <c r="B147" s="285" t="s">
        <v>389</v>
      </c>
      <c r="C147" s="285" t="s">
        <v>667</v>
      </c>
      <c r="D147" s="286">
        <v>1810377900</v>
      </c>
      <c r="E147" s="286">
        <v>93538024</v>
      </c>
      <c r="F147" s="286">
        <v>1716839876</v>
      </c>
      <c r="G147" s="286">
        <v>58373</v>
      </c>
      <c r="H147" s="287">
        <v>9.3989999999999991</v>
      </c>
      <c r="I147" s="287">
        <v>0</v>
      </c>
      <c r="J147" s="287">
        <v>6.2629999999999999</v>
      </c>
      <c r="K147" s="287">
        <v>0</v>
      </c>
      <c r="L147" s="287">
        <v>0</v>
      </c>
      <c r="M147" s="287">
        <v>0.62</v>
      </c>
      <c r="N147" s="287">
        <v>0</v>
      </c>
      <c r="O147" s="287">
        <v>3.359</v>
      </c>
      <c r="P147" s="287">
        <v>3.4000000000000002E-2</v>
      </c>
      <c r="Q147" s="287">
        <v>10.276</v>
      </c>
      <c r="R147" s="287">
        <v>5.4509999999999996</v>
      </c>
      <c r="S147" s="287">
        <v>0</v>
      </c>
      <c r="T147" s="287">
        <v>0</v>
      </c>
      <c r="U147" s="287">
        <v>1.1459999999999999</v>
      </c>
      <c r="V147" s="287">
        <v>0</v>
      </c>
      <c r="W147" s="287">
        <v>16.873000000000001</v>
      </c>
      <c r="X147" s="287">
        <v>16.143999999999998</v>
      </c>
      <c r="Y147" s="286">
        <v>17284545.253405001</v>
      </c>
      <c r="Z147" s="285" t="s">
        <v>633</v>
      </c>
    </row>
    <row r="148" spans="1:26" x14ac:dyDescent="0.25">
      <c r="A148" s="288" t="s">
        <v>393</v>
      </c>
      <c r="B148" s="285" t="s">
        <v>389</v>
      </c>
      <c r="C148" s="285" t="s">
        <v>666</v>
      </c>
      <c r="D148" s="286">
        <v>132961590</v>
      </c>
      <c r="E148" s="286">
        <v>0</v>
      </c>
      <c r="F148" s="286">
        <v>132961590</v>
      </c>
      <c r="G148" s="286">
        <v>8036.54</v>
      </c>
      <c r="H148" s="287">
        <v>21.283000000000001</v>
      </c>
      <c r="I148" s="287">
        <v>0</v>
      </c>
      <c r="J148" s="287">
        <v>21.283000000000001</v>
      </c>
      <c r="K148" s="287">
        <v>0</v>
      </c>
      <c r="L148" s="287">
        <v>0</v>
      </c>
      <c r="M148" s="287">
        <v>0</v>
      </c>
      <c r="N148" s="287">
        <v>0</v>
      </c>
      <c r="O148" s="287">
        <v>8.8610000000000007</v>
      </c>
      <c r="P148" s="287">
        <v>6.0999999999999999E-2</v>
      </c>
      <c r="Q148" s="287">
        <v>30.204999999999998</v>
      </c>
      <c r="R148" s="287">
        <v>0</v>
      </c>
      <c r="S148" s="287">
        <v>2.0699999999999998</v>
      </c>
      <c r="T148" s="287">
        <v>0</v>
      </c>
      <c r="U148" s="287">
        <v>7.0410000000000004</v>
      </c>
      <c r="V148" s="287">
        <v>0</v>
      </c>
      <c r="W148" s="287">
        <v>39.316000000000003</v>
      </c>
      <c r="X148" s="287">
        <v>32.368000000000002</v>
      </c>
      <c r="Y148" s="286">
        <v>1532050.33865</v>
      </c>
      <c r="Z148" s="285" t="s">
        <v>633</v>
      </c>
    </row>
    <row r="149" spans="1:26" x14ac:dyDescent="0.25">
      <c r="A149" s="288" t="s">
        <v>395</v>
      </c>
      <c r="B149" s="285" t="s">
        <v>396</v>
      </c>
      <c r="C149" s="285" t="s">
        <v>665</v>
      </c>
      <c r="D149" s="286">
        <v>31922569</v>
      </c>
      <c r="E149" s="286">
        <v>0</v>
      </c>
      <c r="F149" s="286">
        <v>31922569</v>
      </c>
      <c r="G149" s="286">
        <v>0</v>
      </c>
      <c r="H149" s="287">
        <v>27</v>
      </c>
      <c r="I149" s="287">
        <v>0.442</v>
      </c>
      <c r="J149" s="287">
        <v>26.558</v>
      </c>
      <c r="K149" s="287">
        <v>0</v>
      </c>
      <c r="L149" s="287">
        <v>0</v>
      </c>
      <c r="M149" s="287">
        <v>0</v>
      </c>
      <c r="N149" s="287">
        <v>0</v>
      </c>
      <c r="O149" s="287">
        <v>0</v>
      </c>
      <c r="P149" s="287">
        <v>0</v>
      </c>
      <c r="Q149" s="287">
        <v>26.558</v>
      </c>
      <c r="R149" s="287">
        <v>9.0839999999999996</v>
      </c>
      <c r="S149" s="287">
        <v>0</v>
      </c>
      <c r="T149" s="287">
        <v>0</v>
      </c>
      <c r="U149" s="287">
        <v>0</v>
      </c>
      <c r="V149" s="287">
        <v>0</v>
      </c>
      <c r="W149" s="287">
        <v>35.642000000000003</v>
      </c>
      <c r="X149" s="287">
        <v>86.236999999999995</v>
      </c>
      <c r="Y149" s="286">
        <v>2032266.9458039999</v>
      </c>
      <c r="Z149" s="285" t="s">
        <v>633</v>
      </c>
    </row>
    <row r="150" spans="1:26" x14ac:dyDescent="0.25">
      <c r="A150" s="288" t="s">
        <v>398</v>
      </c>
      <c r="B150" s="285" t="s">
        <v>396</v>
      </c>
      <c r="C150" s="285" t="s">
        <v>664</v>
      </c>
      <c r="D150" s="286">
        <v>43836381</v>
      </c>
      <c r="E150" s="286">
        <v>0</v>
      </c>
      <c r="F150" s="286">
        <v>43836381</v>
      </c>
      <c r="G150" s="286">
        <v>6423.2</v>
      </c>
      <c r="H150" s="287">
        <v>27</v>
      </c>
      <c r="I150" s="287">
        <v>0</v>
      </c>
      <c r="J150" s="287">
        <v>27</v>
      </c>
      <c r="K150" s="287">
        <v>0</v>
      </c>
      <c r="L150" s="287">
        <v>0</v>
      </c>
      <c r="M150" s="287">
        <v>0</v>
      </c>
      <c r="N150" s="287">
        <v>0</v>
      </c>
      <c r="O150" s="287">
        <v>4.5620000000000003</v>
      </c>
      <c r="P150" s="287">
        <v>0.14699999999999999</v>
      </c>
      <c r="Q150" s="287">
        <v>31.709</v>
      </c>
      <c r="R150" s="287">
        <v>9.1</v>
      </c>
      <c r="S150" s="287">
        <v>0</v>
      </c>
      <c r="T150" s="287">
        <v>0</v>
      </c>
      <c r="U150" s="287">
        <v>0</v>
      </c>
      <c r="V150" s="287">
        <v>0</v>
      </c>
      <c r="W150" s="287">
        <v>40.808999999999997</v>
      </c>
      <c r="X150" s="287">
        <v>76.787999999999997</v>
      </c>
      <c r="Y150" s="286">
        <v>2347055.3914000001</v>
      </c>
      <c r="Z150" s="285" t="s">
        <v>633</v>
      </c>
    </row>
    <row r="151" spans="1:26" x14ac:dyDescent="0.25">
      <c r="A151" s="288" t="s">
        <v>399</v>
      </c>
      <c r="B151" s="285" t="s">
        <v>396</v>
      </c>
      <c r="C151" s="285" t="s">
        <v>663</v>
      </c>
      <c r="D151" s="286">
        <v>41140841</v>
      </c>
      <c r="E151" s="286">
        <v>0</v>
      </c>
      <c r="F151" s="286">
        <v>41140841</v>
      </c>
      <c r="G151" s="286">
        <v>4874.3999999999996</v>
      </c>
      <c r="H151" s="287">
        <v>27</v>
      </c>
      <c r="I151" s="287">
        <v>0</v>
      </c>
      <c r="J151" s="287">
        <v>27</v>
      </c>
      <c r="K151" s="287">
        <v>0</v>
      </c>
      <c r="L151" s="287">
        <v>0</v>
      </c>
      <c r="M151" s="287">
        <v>0</v>
      </c>
      <c r="N151" s="287">
        <v>0</v>
      </c>
      <c r="O151" s="287">
        <v>0</v>
      </c>
      <c r="P151" s="287">
        <v>0.11799999999999999</v>
      </c>
      <c r="Q151" s="287">
        <v>27.117999999999999</v>
      </c>
      <c r="R151" s="287">
        <v>10.417</v>
      </c>
      <c r="S151" s="287">
        <v>0</v>
      </c>
      <c r="T151" s="287">
        <v>0</v>
      </c>
      <c r="U151" s="287">
        <v>0</v>
      </c>
      <c r="V151" s="287">
        <v>0</v>
      </c>
      <c r="W151" s="287">
        <v>37.534999999999997</v>
      </c>
      <c r="X151" s="287">
        <v>160.63999999999999</v>
      </c>
      <c r="Y151" s="286">
        <v>5772972.6737000002</v>
      </c>
      <c r="Z151" s="285" t="s">
        <v>633</v>
      </c>
    </row>
    <row r="152" spans="1:26" x14ac:dyDescent="0.25">
      <c r="A152" s="288" t="s">
        <v>401</v>
      </c>
      <c r="B152" s="285" t="s">
        <v>402</v>
      </c>
      <c r="C152" s="285" t="s">
        <v>662</v>
      </c>
      <c r="D152" s="286">
        <v>74138172</v>
      </c>
      <c r="E152" s="286">
        <v>0</v>
      </c>
      <c r="F152" s="286">
        <v>74138172</v>
      </c>
      <c r="G152" s="286">
        <v>57.06</v>
      </c>
      <c r="H152" s="287">
        <v>15.009</v>
      </c>
      <c r="I152" s="287">
        <v>1.044</v>
      </c>
      <c r="J152" s="287">
        <v>13.965</v>
      </c>
      <c r="K152" s="287">
        <v>0</v>
      </c>
      <c r="L152" s="287">
        <v>0</v>
      </c>
      <c r="M152" s="287">
        <v>0.26800000000000002</v>
      </c>
      <c r="N152" s="287">
        <v>0</v>
      </c>
      <c r="O152" s="287">
        <v>0</v>
      </c>
      <c r="P152" s="287">
        <v>1E-3</v>
      </c>
      <c r="Q152" s="287">
        <v>14.234</v>
      </c>
      <c r="R152" s="287">
        <v>1.25</v>
      </c>
      <c r="S152" s="287">
        <v>0</v>
      </c>
      <c r="T152" s="287">
        <v>0</v>
      </c>
      <c r="U152" s="287">
        <v>0</v>
      </c>
      <c r="V152" s="287">
        <v>0</v>
      </c>
      <c r="W152" s="287">
        <v>15.484</v>
      </c>
      <c r="X152" s="287">
        <v>23.013999999999999</v>
      </c>
      <c r="Y152" s="286">
        <v>688773.29339500004</v>
      </c>
      <c r="Z152" s="285" t="s">
        <v>633</v>
      </c>
    </row>
    <row r="153" spans="1:26" x14ac:dyDescent="0.25">
      <c r="A153" s="288" t="s">
        <v>404</v>
      </c>
      <c r="B153" s="285" t="s">
        <v>405</v>
      </c>
      <c r="C153" s="285" t="s">
        <v>661</v>
      </c>
      <c r="D153" s="286">
        <v>1212428933</v>
      </c>
      <c r="E153" s="286">
        <v>0</v>
      </c>
      <c r="F153" s="286">
        <v>1212428933</v>
      </c>
      <c r="G153" s="286">
        <v>131319.85</v>
      </c>
      <c r="H153" s="287">
        <v>7.2809999999999997</v>
      </c>
      <c r="I153" s="287">
        <v>0</v>
      </c>
      <c r="J153" s="287">
        <v>7.2809999999999997</v>
      </c>
      <c r="K153" s="287">
        <v>0</v>
      </c>
      <c r="L153" s="287">
        <v>0</v>
      </c>
      <c r="M153" s="287">
        <v>0</v>
      </c>
      <c r="N153" s="287">
        <v>0</v>
      </c>
      <c r="O153" s="287">
        <v>2.9359999999999999</v>
      </c>
      <c r="P153" s="287">
        <v>0.108</v>
      </c>
      <c r="Q153" s="287">
        <v>10.324999999999999</v>
      </c>
      <c r="R153" s="287">
        <v>3.1840000000000002</v>
      </c>
      <c r="S153" s="287">
        <v>0.24399999999999999</v>
      </c>
      <c r="T153" s="287">
        <v>0</v>
      </c>
      <c r="U153" s="287">
        <v>0</v>
      </c>
      <c r="V153" s="287">
        <v>0</v>
      </c>
      <c r="W153" s="287">
        <v>13.753</v>
      </c>
      <c r="X153" s="287">
        <v>9.9</v>
      </c>
      <c r="Y153" s="286">
        <v>3231785.6321569998</v>
      </c>
      <c r="Z153" s="285" t="s">
        <v>633</v>
      </c>
    </row>
    <row r="154" spans="1:26" x14ac:dyDescent="0.25">
      <c r="A154" s="288" t="s">
        <v>407</v>
      </c>
      <c r="B154" s="285" t="s">
        <v>405</v>
      </c>
      <c r="C154" s="285" t="s">
        <v>660</v>
      </c>
      <c r="D154" s="286">
        <v>53202541</v>
      </c>
      <c r="E154" s="286">
        <v>0</v>
      </c>
      <c r="F154" s="286">
        <v>53202541</v>
      </c>
      <c r="G154" s="286">
        <v>3736.71</v>
      </c>
      <c r="H154" s="287">
        <v>16.998999999999999</v>
      </c>
      <c r="I154" s="287">
        <v>10.089</v>
      </c>
      <c r="J154" s="287">
        <v>6.91</v>
      </c>
      <c r="K154" s="287">
        <v>0</v>
      </c>
      <c r="L154" s="287">
        <v>0</v>
      </c>
      <c r="M154" s="287">
        <v>0</v>
      </c>
      <c r="N154" s="287">
        <v>0</v>
      </c>
      <c r="O154" s="287">
        <v>8.0749999999999993</v>
      </c>
      <c r="P154" s="287">
        <v>7.0000000000000007E-2</v>
      </c>
      <c r="Q154" s="287">
        <v>15.055</v>
      </c>
      <c r="R154" s="287">
        <v>0</v>
      </c>
      <c r="S154" s="287">
        <v>0</v>
      </c>
      <c r="T154" s="287">
        <v>0</v>
      </c>
      <c r="U154" s="287">
        <v>0</v>
      </c>
      <c r="V154" s="287">
        <v>0</v>
      </c>
      <c r="W154" s="287">
        <v>15.055</v>
      </c>
      <c r="X154" s="287">
        <v>58.061999999999998</v>
      </c>
      <c r="Y154" s="286">
        <v>2851840.0551</v>
      </c>
      <c r="Z154" s="285" t="s">
        <v>633</v>
      </c>
    </row>
    <row r="155" spans="1:26" x14ac:dyDescent="0.25">
      <c r="A155" s="288" t="s">
        <v>409</v>
      </c>
      <c r="B155" s="285" t="s">
        <v>410</v>
      </c>
      <c r="C155" s="285" t="s">
        <v>659</v>
      </c>
      <c r="D155" s="286">
        <v>30080423</v>
      </c>
      <c r="E155" s="286">
        <v>0</v>
      </c>
      <c r="F155" s="286">
        <v>30080423</v>
      </c>
      <c r="G155" s="286">
        <v>29118</v>
      </c>
      <c r="H155" s="287">
        <v>27</v>
      </c>
      <c r="I155" s="287">
        <v>0</v>
      </c>
      <c r="J155" s="287">
        <v>27</v>
      </c>
      <c r="K155" s="287">
        <v>0</v>
      </c>
      <c r="L155" s="287">
        <v>0</v>
      </c>
      <c r="M155" s="287">
        <v>0</v>
      </c>
      <c r="N155" s="287">
        <v>0</v>
      </c>
      <c r="O155" s="287">
        <v>0</v>
      </c>
      <c r="P155" s="287">
        <v>0.96799999999999997</v>
      </c>
      <c r="Q155" s="287">
        <v>27.968</v>
      </c>
      <c r="R155" s="287">
        <v>13.63</v>
      </c>
      <c r="S155" s="287">
        <v>0</v>
      </c>
      <c r="T155" s="287">
        <v>0</v>
      </c>
      <c r="U155" s="287">
        <v>0</v>
      </c>
      <c r="V155" s="287">
        <v>0</v>
      </c>
      <c r="W155" s="287">
        <v>41.597999999999999</v>
      </c>
      <c r="X155" s="287">
        <v>191.75200000000001</v>
      </c>
      <c r="Y155" s="286">
        <v>5241029.0877</v>
      </c>
      <c r="Z155" s="285" t="s">
        <v>633</v>
      </c>
    </row>
    <row r="156" spans="1:26" x14ac:dyDescent="0.25">
      <c r="A156" s="288" t="s">
        <v>412</v>
      </c>
      <c r="B156" s="285" t="s">
        <v>410</v>
      </c>
      <c r="C156" s="285" t="s">
        <v>658</v>
      </c>
      <c r="D156" s="286">
        <v>27394549</v>
      </c>
      <c r="E156" s="286">
        <v>0</v>
      </c>
      <c r="F156" s="286">
        <v>27394549</v>
      </c>
      <c r="G156" s="286">
        <v>8684</v>
      </c>
      <c r="H156" s="287">
        <v>27</v>
      </c>
      <c r="I156" s="287">
        <v>1.0580000000000001</v>
      </c>
      <c r="J156" s="287">
        <v>25.942</v>
      </c>
      <c r="K156" s="287">
        <v>0</v>
      </c>
      <c r="L156" s="287">
        <v>0</v>
      </c>
      <c r="M156" s="287">
        <v>2.71</v>
      </c>
      <c r="N156" s="287">
        <v>0</v>
      </c>
      <c r="O156" s="287">
        <v>0</v>
      </c>
      <c r="P156" s="287">
        <v>0.317</v>
      </c>
      <c r="Q156" s="287">
        <v>28.969000000000001</v>
      </c>
      <c r="R156" s="287">
        <v>13</v>
      </c>
      <c r="S156" s="287">
        <v>0</v>
      </c>
      <c r="T156" s="287">
        <v>0</v>
      </c>
      <c r="U156" s="287">
        <v>0</v>
      </c>
      <c r="V156" s="287">
        <v>0</v>
      </c>
      <c r="W156" s="287">
        <v>41.969000000000001</v>
      </c>
      <c r="X156" s="287">
        <v>84.903999999999996</v>
      </c>
      <c r="Y156" s="286">
        <v>1665228.3814419999</v>
      </c>
      <c r="Z156" s="285" t="s">
        <v>633</v>
      </c>
    </row>
    <row r="157" spans="1:26" x14ac:dyDescent="0.25">
      <c r="A157" s="288" t="s">
        <v>414</v>
      </c>
      <c r="B157" s="285" t="s">
        <v>415</v>
      </c>
      <c r="C157" s="285" t="s">
        <v>657</v>
      </c>
      <c r="D157" s="286">
        <v>3443140260</v>
      </c>
      <c r="E157" s="286">
        <v>61950660</v>
      </c>
      <c r="F157" s="286">
        <v>3381189600</v>
      </c>
      <c r="G157" s="286">
        <v>43585</v>
      </c>
      <c r="H157" s="287">
        <v>10.666</v>
      </c>
      <c r="I157" s="287">
        <v>0</v>
      </c>
      <c r="J157" s="287">
        <v>10.666</v>
      </c>
      <c r="K157" s="287">
        <v>0</v>
      </c>
      <c r="L157" s="287">
        <v>0</v>
      </c>
      <c r="M157" s="287">
        <v>0.436</v>
      </c>
      <c r="N157" s="287">
        <v>0</v>
      </c>
      <c r="O157" s="287">
        <v>1.8140000000000001</v>
      </c>
      <c r="P157" s="287">
        <v>1.2999999999999999E-2</v>
      </c>
      <c r="Q157" s="287">
        <v>12.929</v>
      </c>
      <c r="R157" s="287">
        <v>2.7149999999999999</v>
      </c>
      <c r="S157" s="287">
        <v>0.26</v>
      </c>
      <c r="T157" s="287">
        <v>0</v>
      </c>
      <c r="U157" s="287">
        <v>1</v>
      </c>
      <c r="V157" s="287">
        <v>0</v>
      </c>
      <c r="W157" s="287">
        <v>16.904</v>
      </c>
      <c r="X157" s="287">
        <v>10.648</v>
      </c>
      <c r="Y157" s="286">
        <v>1208.3783000020801</v>
      </c>
      <c r="Z157" s="285" t="s">
        <v>633</v>
      </c>
    </row>
    <row r="158" spans="1:26" x14ac:dyDescent="0.25">
      <c r="A158" s="288" t="s">
        <v>416</v>
      </c>
      <c r="B158" s="285" t="s">
        <v>417</v>
      </c>
      <c r="C158" s="285" t="s">
        <v>656</v>
      </c>
      <c r="D158" s="286">
        <v>430836860</v>
      </c>
      <c r="E158" s="286">
        <v>0</v>
      </c>
      <c r="F158" s="286">
        <v>430836860</v>
      </c>
      <c r="G158" s="286">
        <v>4308</v>
      </c>
      <c r="H158" s="287">
        <v>9.6240000000000006</v>
      </c>
      <c r="I158" s="287">
        <v>0</v>
      </c>
      <c r="J158" s="287">
        <v>9.2579999999999991</v>
      </c>
      <c r="K158" s="287">
        <v>0.36599999999999999</v>
      </c>
      <c r="L158" s="287">
        <v>0</v>
      </c>
      <c r="M158" s="287">
        <v>0</v>
      </c>
      <c r="N158" s="287">
        <v>0</v>
      </c>
      <c r="O158" s="287">
        <v>1.327</v>
      </c>
      <c r="P158" s="287">
        <v>0.01</v>
      </c>
      <c r="Q158" s="287">
        <v>10.961</v>
      </c>
      <c r="R158" s="287">
        <v>2.3250000000000002</v>
      </c>
      <c r="S158" s="287">
        <v>0</v>
      </c>
      <c r="T158" s="287">
        <v>0</v>
      </c>
      <c r="U158" s="287">
        <v>0</v>
      </c>
      <c r="V158" s="287">
        <v>0</v>
      </c>
      <c r="W158" s="287">
        <v>13.286</v>
      </c>
      <c r="X158" s="287">
        <v>9.2579999999999991</v>
      </c>
      <c r="Y158" s="286">
        <v>199.08449999912401</v>
      </c>
      <c r="Z158" s="285" t="s">
        <v>633</v>
      </c>
    </row>
    <row r="159" spans="1:26" x14ac:dyDescent="0.25">
      <c r="A159" s="288" t="s">
        <v>419</v>
      </c>
      <c r="B159" s="285" t="s">
        <v>417</v>
      </c>
      <c r="C159" s="285" t="s">
        <v>655</v>
      </c>
      <c r="D159" s="286">
        <v>425351880</v>
      </c>
      <c r="E159" s="286">
        <v>12695714</v>
      </c>
      <c r="F159" s="286">
        <v>412656166</v>
      </c>
      <c r="G159" s="286">
        <v>8055</v>
      </c>
      <c r="H159" s="287">
        <v>27</v>
      </c>
      <c r="I159" s="287">
        <v>1.45</v>
      </c>
      <c r="J159" s="287">
        <v>25.55</v>
      </c>
      <c r="K159" s="287">
        <v>0</v>
      </c>
      <c r="L159" s="287">
        <v>0</v>
      </c>
      <c r="M159" s="287">
        <v>0</v>
      </c>
      <c r="N159" s="287">
        <v>0</v>
      </c>
      <c r="O159" s="287">
        <v>2.6659999999999999</v>
      </c>
      <c r="P159" s="287">
        <v>0.02</v>
      </c>
      <c r="Q159" s="287">
        <v>28.236000000000001</v>
      </c>
      <c r="R159" s="287">
        <v>0</v>
      </c>
      <c r="S159" s="287">
        <v>0</v>
      </c>
      <c r="T159" s="287">
        <v>0</v>
      </c>
      <c r="U159" s="287">
        <v>0</v>
      </c>
      <c r="V159" s="287">
        <v>0</v>
      </c>
      <c r="W159" s="287">
        <v>28.236000000000001</v>
      </c>
      <c r="X159" s="287">
        <v>47.796999999999997</v>
      </c>
      <c r="Y159" s="286">
        <v>9812261.2334499992</v>
      </c>
      <c r="Z159" s="285" t="s">
        <v>633</v>
      </c>
    </row>
    <row r="160" spans="1:26" x14ac:dyDescent="0.25">
      <c r="A160" s="288" t="s">
        <v>421</v>
      </c>
      <c r="B160" s="285" t="s">
        <v>422</v>
      </c>
      <c r="C160" s="285" t="s">
        <v>654</v>
      </c>
      <c r="D160" s="286">
        <v>49472189</v>
      </c>
      <c r="E160" s="286">
        <v>0</v>
      </c>
      <c r="F160" s="286">
        <v>49472189</v>
      </c>
      <c r="G160" s="286">
        <v>7334.23</v>
      </c>
      <c r="H160" s="287">
        <v>27</v>
      </c>
      <c r="I160" s="287">
        <v>0</v>
      </c>
      <c r="J160" s="287">
        <v>27</v>
      </c>
      <c r="K160" s="287">
        <v>0</v>
      </c>
      <c r="L160" s="287">
        <v>0</v>
      </c>
      <c r="M160" s="287">
        <v>0</v>
      </c>
      <c r="N160" s="287">
        <v>0</v>
      </c>
      <c r="O160" s="287">
        <v>0</v>
      </c>
      <c r="P160" s="287">
        <v>0.14099999999999999</v>
      </c>
      <c r="Q160" s="287">
        <v>27.140999999999998</v>
      </c>
      <c r="R160" s="287">
        <v>9.86</v>
      </c>
      <c r="S160" s="287">
        <v>0</v>
      </c>
      <c r="T160" s="287">
        <v>0</v>
      </c>
      <c r="U160" s="287">
        <v>0</v>
      </c>
      <c r="V160" s="287">
        <v>0</v>
      </c>
      <c r="W160" s="287">
        <v>37.000999999999998</v>
      </c>
      <c r="X160" s="287">
        <v>99.549000000000007</v>
      </c>
      <c r="Y160" s="286">
        <v>3784333.1239</v>
      </c>
      <c r="Z160" s="285" t="s">
        <v>633</v>
      </c>
    </row>
    <row r="161" spans="1:26" x14ac:dyDescent="0.25">
      <c r="A161" s="288" t="s">
        <v>424</v>
      </c>
      <c r="B161" s="285" t="s">
        <v>422</v>
      </c>
      <c r="C161" s="285" t="s">
        <v>653</v>
      </c>
      <c r="D161" s="286">
        <v>32866252</v>
      </c>
      <c r="E161" s="286">
        <v>0</v>
      </c>
      <c r="F161" s="286">
        <v>32866252</v>
      </c>
      <c r="G161" s="286">
        <v>4539</v>
      </c>
      <c r="H161" s="287">
        <v>27</v>
      </c>
      <c r="I161" s="287">
        <v>9.8190000000000008</v>
      </c>
      <c r="J161" s="287">
        <v>17.181000000000001</v>
      </c>
      <c r="K161" s="287">
        <v>0</v>
      </c>
      <c r="L161" s="287">
        <v>0</v>
      </c>
      <c r="M161" s="287">
        <v>0.23799999999999999</v>
      </c>
      <c r="N161" s="287">
        <v>0</v>
      </c>
      <c r="O161" s="287">
        <v>7.6070000000000002</v>
      </c>
      <c r="P161" s="287">
        <v>0.13800000000000001</v>
      </c>
      <c r="Q161" s="287">
        <v>25.164000000000001</v>
      </c>
      <c r="R161" s="287">
        <v>0</v>
      </c>
      <c r="S161" s="287">
        <v>0</v>
      </c>
      <c r="T161" s="287">
        <v>0</v>
      </c>
      <c r="U161" s="287">
        <v>0</v>
      </c>
      <c r="V161" s="287">
        <v>0</v>
      </c>
      <c r="W161" s="287">
        <v>25.164000000000001</v>
      </c>
      <c r="X161" s="287">
        <v>52.533000000000001</v>
      </c>
      <c r="Y161" s="286">
        <v>1187895.255234</v>
      </c>
      <c r="Z161" s="285" t="s">
        <v>633</v>
      </c>
    </row>
    <row r="162" spans="1:26" x14ac:dyDescent="0.25">
      <c r="A162" s="288" t="s">
        <v>426</v>
      </c>
      <c r="B162" s="285" t="s">
        <v>422</v>
      </c>
      <c r="C162" s="285" t="s">
        <v>652</v>
      </c>
      <c r="D162" s="286">
        <v>22633247</v>
      </c>
      <c r="E162" s="286">
        <v>0</v>
      </c>
      <c r="F162" s="286">
        <v>22633247</v>
      </c>
      <c r="G162" s="286">
        <v>2491.73</v>
      </c>
      <c r="H162" s="287">
        <v>27</v>
      </c>
      <c r="I162" s="287">
        <v>0</v>
      </c>
      <c r="J162" s="287">
        <v>27</v>
      </c>
      <c r="K162" s="287">
        <v>0</v>
      </c>
      <c r="L162" s="287">
        <v>0</v>
      </c>
      <c r="M162" s="287">
        <v>0</v>
      </c>
      <c r="N162" s="287">
        <v>0</v>
      </c>
      <c r="O162" s="287">
        <v>0</v>
      </c>
      <c r="P162" s="287">
        <v>0</v>
      </c>
      <c r="Q162" s="287">
        <v>27</v>
      </c>
      <c r="R162" s="287">
        <v>7.069</v>
      </c>
      <c r="S162" s="287">
        <v>0</v>
      </c>
      <c r="T162" s="287">
        <v>0</v>
      </c>
      <c r="U162" s="287">
        <v>0</v>
      </c>
      <c r="V162" s="287">
        <v>0</v>
      </c>
      <c r="W162" s="287">
        <v>34.069000000000003</v>
      </c>
      <c r="X162" s="287">
        <v>144.59</v>
      </c>
      <c r="Y162" s="286">
        <v>2773819.8495999998</v>
      </c>
      <c r="Z162" s="285" t="s">
        <v>633</v>
      </c>
    </row>
    <row r="163" spans="1:26" x14ac:dyDescent="0.25">
      <c r="A163" s="288" t="s">
        <v>428</v>
      </c>
      <c r="B163" s="285" t="s">
        <v>422</v>
      </c>
      <c r="C163" s="285" t="s">
        <v>651</v>
      </c>
      <c r="D163" s="286">
        <v>29505049</v>
      </c>
      <c r="E163" s="286">
        <v>0</v>
      </c>
      <c r="F163" s="286">
        <v>29505049</v>
      </c>
      <c r="G163" s="286">
        <v>0</v>
      </c>
      <c r="H163" s="287">
        <v>27</v>
      </c>
      <c r="I163" s="287">
        <v>0</v>
      </c>
      <c r="J163" s="287">
        <v>27</v>
      </c>
      <c r="K163" s="287">
        <v>0</v>
      </c>
      <c r="L163" s="287">
        <v>0</v>
      </c>
      <c r="M163" s="287">
        <v>0</v>
      </c>
      <c r="N163" s="287">
        <v>0</v>
      </c>
      <c r="O163" s="287">
        <v>0</v>
      </c>
      <c r="P163" s="287">
        <v>0</v>
      </c>
      <c r="Q163" s="287">
        <v>27</v>
      </c>
      <c r="R163" s="287">
        <v>0</v>
      </c>
      <c r="S163" s="287">
        <v>0</v>
      </c>
      <c r="T163" s="287">
        <v>0</v>
      </c>
      <c r="U163" s="287">
        <v>0</v>
      </c>
      <c r="V163" s="287">
        <v>0</v>
      </c>
      <c r="W163" s="287">
        <v>27</v>
      </c>
      <c r="X163" s="287">
        <v>82.545000000000002</v>
      </c>
      <c r="Y163" s="286">
        <v>1651975.4092000001</v>
      </c>
      <c r="Z163" s="285" t="s">
        <v>633</v>
      </c>
    </row>
    <row r="164" spans="1:26" x14ac:dyDescent="0.25">
      <c r="A164" s="288" t="s">
        <v>430</v>
      </c>
      <c r="B164" s="285" t="s">
        <v>422</v>
      </c>
      <c r="C164" s="285" t="s">
        <v>650</v>
      </c>
      <c r="D164" s="286">
        <v>38019354</v>
      </c>
      <c r="E164" s="286">
        <v>0</v>
      </c>
      <c r="F164" s="286">
        <v>38019354</v>
      </c>
      <c r="G164" s="286">
        <v>4819.58</v>
      </c>
      <c r="H164" s="287">
        <v>27</v>
      </c>
      <c r="I164" s="287">
        <v>4.2279999999999998</v>
      </c>
      <c r="J164" s="287">
        <v>22.771999999999998</v>
      </c>
      <c r="K164" s="287">
        <v>0</v>
      </c>
      <c r="L164" s="287">
        <v>0</v>
      </c>
      <c r="M164" s="287">
        <v>2.024</v>
      </c>
      <c r="N164" s="287">
        <v>0</v>
      </c>
      <c r="O164" s="287">
        <v>4.077</v>
      </c>
      <c r="P164" s="287">
        <v>0.127</v>
      </c>
      <c r="Q164" s="287">
        <v>29</v>
      </c>
      <c r="R164" s="287">
        <v>0</v>
      </c>
      <c r="S164" s="287">
        <v>0</v>
      </c>
      <c r="T164" s="287">
        <v>0</v>
      </c>
      <c r="U164" s="287">
        <v>0</v>
      </c>
      <c r="V164" s="287">
        <v>0</v>
      </c>
      <c r="W164" s="287">
        <v>29</v>
      </c>
      <c r="X164" s="287">
        <v>38.994999999999997</v>
      </c>
      <c r="Y164" s="286">
        <v>622420.74416799995</v>
      </c>
      <c r="Z164" s="285" t="s">
        <v>633</v>
      </c>
    </row>
    <row r="165" spans="1:26" x14ac:dyDescent="0.25">
      <c r="A165" s="288" t="s">
        <v>432</v>
      </c>
      <c r="B165" s="285" t="s">
        <v>433</v>
      </c>
      <c r="C165" s="285" t="s">
        <v>649</v>
      </c>
      <c r="D165" s="286">
        <v>1693308240</v>
      </c>
      <c r="E165" s="286">
        <v>312630</v>
      </c>
      <c r="F165" s="286">
        <v>1692995610</v>
      </c>
      <c r="G165" s="286">
        <v>592205.01</v>
      </c>
      <c r="H165" s="287">
        <v>9.6389999999999993</v>
      </c>
      <c r="I165" s="287">
        <v>0.439</v>
      </c>
      <c r="J165" s="287">
        <v>9.1999999999999993</v>
      </c>
      <c r="K165" s="287">
        <v>0</v>
      </c>
      <c r="L165" s="287">
        <v>0</v>
      </c>
      <c r="M165" s="287">
        <v>0</v>
      </c>
      <c r="N165" s="287">
        <v>0</v>
      </c>
      <c r="O165" s="287">
        <v>2.3050000000000002</v>
      </c>
      <c r="P165" s="287">
        <v>0.35</v>
      </c>
      <c r="Q165" s="287">
        <v>11.855</v>
      </c>
      <c r="R165" s="287">
        <v>1.4470000000000001</v>
      </c>
      <c r="S165" s="287">
        <v>0</v>
      </c>
      <c r="T165" s="287">
        <v>0</v>
      </c>
      <c r="U165" s="287">
        <v>0</v>
      </c>
      <c r="V165" s="287">
        <v>0</v>
      </c>
      <c r="W165" s="287">
        <v>13.302</v>
      </c>
      <c r="X165" s="287">
        <v>10.983000000000001</v>
      </c>
      <c r="Y165" s="286">
        <v>3035091.0894999998</v>
      </c>
      <c r="Z165" s="285" t="s">
        <v>633</v>
      </c>
    </row>
    <row r="166" spans="1:26" x14ac:dyDescent="0.25">
      <c r="A166" s="288" t="s">
        <v>435</v>
      </c>
      <c r="B166" s="285" t="s">
        <v>433</v>
      </c>
      <c r="C166" s="285" t="s">
        <v>648</v>
      </c>
      <c r="D166" s="286">
        <v>1177966320</v>
      </c>
      <c r="E166" s="286">
        <v>0</v>
      </c>
      <c r="F166" s="286">
        <v>1177966320</v>
      </c>
      <c r="G166" s="286">
        <v>3032</v>
      </c>
      <c r="H166" s="287">
        <v>22.207999999999998</v>
      </c>
      <c r="I166" s="287">
        <v>0</v>
      </c>
      <c r="J166" s="287">
        <v>17.013000000000002</v>
      </c>
      <c r="K166" s="287">
        <v>0.68</v>
      </c>
      <c r="L166" s="287">
        <v>4.5149999999999997</v>
      </c>
      <c r="M166" s="287">
        <v>0</v>
      </c>
      <c r="N166" s="287">
        <v>0</v>
      </c>
      <c r="O166" s="287">
        <v>2.2919999999999998</v>
      </c>
      <c r="P166" s="287">
        <v>3.0000000000000001E-3</v>
      </c>
      <c r="Q166" s="287">
        <v>24.503</v>
      </c>
      <c r="R166" s="287">
        <v>8.5969999999999995</v>
      </c>
      <c r="S166" s="287">
        <v>0</v>
      </c>
      <c r="T166" s="287">
        <v>0</v>
      </c>
      <c r="U166" s="287">
        <v>0</v>
      </c>
      <c r="V166" s="287">
        <v>0</v>
      </c>
      <c r="W166" s="287">
        <v>33.1</v>
      </c>
      <c r="X166" s="287">
        <v>17.068999999999999</v>
      </c>
      <c r="Y166" s="286">
        <v>0</v>
      </c>
      <c r="Z166" s="285" t="s">
        <v>633</v>
      </c>
    </row>
    <row r="167" spans="1:26" x14ac:dyDescent="0.25">
      <c r="A167" s="288" t="s">
        <v>437</v>
      </c>
      <c r="B167" s="285" t="s">
        <v>433</v>
      </c>
      <c r="C167" s="285" t="s">
        <v>647</v>
      </c>
      <c r="D167" s="286">
        <v>2447818820</v>
      </c>
      <c r="E167" s="286">
        <v>0</v>
      </c>
      <c r="F167" s="286">
        <v>2447818820</v>
      </c>
      <c r="G167" s="286">
        <v>601945</v>
      </c>
      <c r="H167" s="287">
        <v>10.845000000000001</v>
      </c>
      <c r="I167" s="287">
        <v>0</v>
      </c>
      <c r="J167" s="287">
        <v>10.798</v>
      </c>
      <c r="K167" s="287">
        <v>4.7E-2</v>
      </c>
      <c r="L167" s="287">
        <v>0</v>
      </c>
      <c r="M167" s="287">
        <v>1.9E-2</v>
      </c>
      <c r="N167" s="287">
        <v>0</v>
      </c>
      <c r="O167" s="287">
        <v>1.8380000000000001</v>
      </c>
      <c r="P167" s="287">
        <v>0.245</v>
      </c>
      <c r="Q167" s="287">
        <v>12.946999999999999</v>
      </c>
      <c r="R167" s="287">
        <v>3.8460000000000001</v>
      </c>
      <c r="S167" s="287">
        <v>0</v>
      </c>
      <c r="T167" s="287">
        <v>0</v>
      </c>
      <c r="U167" s="287">
        <v>0</v>
      </c>
      <c r="V167" s="287">
        <v>0</v>
      </c>
      <c r="W167" s="287">
        <v>16.792999999999999</v>
      </c>
      <c r="X167" s="287">
        <v>10.797000000000001</v>
      </c>
      <c r="Y167" s="286">
        <v>0</v>
      </c>
      <c r="Z167" s="285" t="s">
        <v>633</v>
      </c>
    </row>
    <row r="168" spans="1:26" x14ac:dyDescent="0.25">
      <c r="A168" s="288" t="s">
        <v>439</v>
      </c>
      <c r="B168" s="285" t="s">
        <v>433</v>
      </c>
      <c r="C168" s="285" t="s">
        <v>646</v>
      </c>
      <c r="D168" s="286">
        <v>2340489110</v>
      </c>
      <c r="E168" s="286">
        <v>1211110</v>
      </c>
      <c r="F168" s="286">
        <v>2339278000</v>
      </c>
      <c r="G168" s="286">
        <v>66250.720000000001</v>
      </c>
      <c r="H168" s="287">
        <v>27</v>
      </c>
      <c r="I168" s="287">
        <v>0</v>
      </c>
      <c r="J168" s="287">
        <v>27</v>
      </c>
      <c r="K168" s="287">
        <v>0</v>
      </c>
      <c r="L168" s="287">
        <v>0</v>
      </c>
      <c r="M168" s="287">
        <v>0</v>
      </c>
      <c r="N168" s="287">
        <v>0</v>
      </c>
      <c r="O168" s="287">
        <v>4.7859999999999996</v>
      </c>
      <c r="P168" s="287">
        <v>2.8000000000000001E-2</v>
      </c>
      <c r="Q168" s="287">
        <v>31.814</v>
      </c>
      <c r="R168" s="287">
        <v>12.568</v>
      </c>
      <c r="S168" s="287">
        <v>0</v>
      </c>
      <c r="T168" s="287">
        <v>0</v>
      </c>
      <c r="U168" s="287">
        <v>0</v>
      </c>
      <c r="V168" s="287">
        <v>0</v>
      </c>
      <c r="W168" s="287">
        <v>44.381999999999998</v>
      </c>
      <c r="X168" s="287">
        <v>34.323</v>
      </c>
      <c r="Y168" s="286">
        <v>17530270.2005</v>
      </c>
      <c r="Z168" s="285" t="s">
        <v>633</v>
      </c>
    </row>
    <row r="169" spans="1:26" x14ac:dyDescent="0.25">
      <c r="A169" s="288" t="s">
        <v>441</v>
      </c>
      <c r="B169" s="285" t="s">
        <v>433</v>
      </c>
      <c r="C169" s="285" t="s">
        <v>645</v>
      </c>
      <c r="D169" s="286">
        <v>1328352650</v>
      </c>
      <c r="E169" s="286">
        <v>0</v>
      </c>
      <c r="F169" s="286">
        <v>1328352650</v>
      </c>
      <c r="G169" s="286">
        <v>284687.21999999997</v>
      </c>
      <c r="H169" s="287">
        <v>27</v>
      </c>
      <c r="I169" s="287">
        <v>5.5860000000000003</v>
      </c>
      <c r="J169" s="287">
        <v>21.414000000000001</v>
      </c>
      <c r="K169" s="287">
        <v>0</v>
      </c>
      <c r="L169" s="287">
        <v>0</v>
      </c>
      <c r="M169" s="287">
        <v>0</v>
      </c>
      <c r="N169" s="287">
        <v>0</v>
      </c>
      <c r="O169" s="287">
        <v>3.387</v>
      </c>
      <c r="P169" s="287">
        <v>0.214</v>
      </c>
      <c r="Q169" s="287">
        <v>25.015000000000001</v>
      </c>
      <c r="R169" s="287">
        <v>8.9730000000000008</v>
      </c>
      <c r="S169" s="287">
        <v>0</v>
      </c>
      <c r="T169" s="287">
        <v>0</v>
      </c>
      <c r="U169" s="287">
        <v>0</v>
      </c>
      <c r="V169" s="287">
        <v>0</v>
      </c>
      <c r="W169" s="287">
        <v>33.988</v>
      </c>
      <c r="X169" s="287">
        <v>28.454999999999998</v>
      </c>
      <c r="Y169" s="286">
        <v>9527249.319898</v>
      </c>
      <c r="Z169" s="285" t="s">
        <v>633</v>
      </c>
    </row>
    <row r="170" spans="1:26" x14ac:dyDescent="0.25">
      <c r="A170" s="288" t="s">
        <v>443</v>
      </c>
      <c r="B170" s="285" t="s">
        <v>433</v>
      </c>
      <c r="C170" s="285" t="s">
        <v>644</v>
      </c>
      <c r="D170" s="286">
        <v>3128585710</v>
      </c>
      <c r="E170" s="286">
        <v>192933893</v>
      </c>
      <c r="F170" s="286">
        <v>2935651817</v>
      </c>
      <c r="G170" s="286">
        <v>115400.65</v>
      </c>
      <c r="H170" s="287">
        <v>27</v>
      </c>
      <c r="I170" s="287">
        <v>0</v>
      </c>
      <c r="J170" s="287">
        <v>27</v>
      </c>
      <c r="K170" s="287">
        <v>0</v>
      </c>
      <c r="L170" s="287">
        <v>0</v>
      </c>
      <c r="M170" s="287">
        <v>0</v>
      </c>
      <c r="N170" s="287">
        <v>0</v>
      </c>
      <c r="O170" s="287">
        <v>10</v>
      </c>
      <c r="P170" s="287">
        <v>0.04</v>
      </c>
      <c r="Q170" s="287">
        <v>37.04</v>
      </c>
      <c r="R170" s="287">
        <v>10</v>
      </c>
      <c r="S170" s="287">
        <v>0</v>
      </c>
      <c r="T170" s="287">
        <v>0</v>
      </c>
      <c r="U170" s="287">
        <v>0</v>
      </c>
      <c r="V170" s="287">
        <v>0</v>
      </c>
      <c r="W170" s="287">
        <v>47.04</v>
      </c>
      <c r="X170" s="287">
        <v>77.081000000000003</v>
      </c>
      <c r="Y170" s="286">
        <v>152309148.8267</v>
      </c>
      <c r="Z170" s="285" t="s">
        <v>633</v>
      </c>
    </row>
    <row r="171" spans="1:26" x14ac:dyDescent="0.25">
      <c r="A171" s="288" t="s">
        <v>445</v>
      </c>
      <c r="B171" s="285" t="s">
        <v>433</v>
      </c>
      <c r="C171" s="285" t="s">
        <v>643</v>
      </c>
      <c r="D171" s="286">
        <v>4176082130</v>
      </c>
      <c r="E171" s="286">
        <v>0</v>
      </c>
      <c r="F171" s="286">
        <v>4176082130</v>
      </c>
      <c r="G171" s="286">
        <v>25574.45</v>
      </c>
      <c r="H171" s="287">
        <v>5.6239999999999997</v>
      </c>
      <c r="I171" s="287">
        <v>0</v>
      </c>
      <c r="J171" s="287">
        <v>2.7639999999999998</v>
      </c>
      <c r="K171" s="287">
        <v>0.14599999999999999</v>
      </c>
      <c r="L171" s="287">
        <v>2.714</v>
      </c>
      <c r="M171" s="287">
        <v>0</v>
      </c>
      <c r="N171" s="287">
        <v>0</v>
      </c>
      <c r="O171" s="287">
        <v>0.69499999999999995</v>
      </c>
      <c r="P171" s="287">
        <v>6.0000000000000001E-3</v>
      </c>
      <c r="Q171" s="287">
        <v>6.3250000000000002</v>
      </c>
      <c r="R171" s="287">
        <v>0.92400000000000004</v>
      </c>
      <c r="S171" s="287">
        <v>0</v>
      </c>
      <c r="T171" s="287">
        <v>0</v>
      </c>
      <c r="U171" s="287">
        <v>0</v>
      </c>
      <c r="V171" s="287">
        <v>0</v>
      </c>
      <c r="W171" s="287">
        <v>7.2489999999999997</v>
      </c>
      <c r="X171" s="287">
        <v>2.7509999999999999</v>
      </c>
      <c r="Y171" s="286">
        <v>0</v>
      </c>
      <c r="Z171" s="285" t="s">
        <v>633</v>
      </c>
    </row>
    <row r="172" spans="1:26" x14ac:dyDescent="0.25">
      <c r="A172" s="288" t="s">
        <v>447</v>
      </c>
      <c r="B172" s="285" t="s">
        <v>433</v>
      </c>
      <c r="C172" s="285" t="s">
        <v>642</v>
      </c>
      <c r="D172" s="286">
        <v>1775664730</v>
      </c>
      <c r="E172" s="286">
        <v>46477481</v>
      </c>
      <c r="F172" s="286">
        <v>1729187249</v>
      </c>
      <c r="G172" s="286">
        <v>671837.35</v>
      </c>
      <c r="H172" s="287">
        <v>12.143000000000001</v>
      </c>
      <c r="I172" s="287">
        <v>0</v>
      </c>
      <c r="J172" s="287">
        <v>12.143000000000001</v>
      </c>
      <c r="K172" s="287">
        <v>0</v>
      </c>
      <c r="L172" s="287">
        <v>0</v>
      </c>
      <c r="M172" s="287">
        <v>0</v>
      </c>
      <c r="N172" s="287">
        <v>0</v>
      </c>
      <c r="O172" s="287">
        <v>1.546</v>
      </c>
      <c r="P172" s="287">
        <v>0.38900000000000001</v>
      </c>
      <c r="Q172" s="287">
        <v>14.077999999999999</v>
      </c>
      <c r="R172" s="287">
        <v>3.1190000000000002</v>
      </c>
      <c r="S172" s="287">
        <v>0</v>
      </c>
      <c r="T172" s="287">
        <v>0</v>
      </c>
      <c r="U172" s="287">
        <v>0</v>
      </c>
      <c r="V172" s="287">
        <v>0</v>
      </c>
      <c r="W172" s="287">
        <v>17.196999999999999</v>
      </c>
      <c r="X172" s="287">
        <v>14.268000000000001</v>
      </c>
      <c r="Y172" s="286">
        <v>3725204.7287135799</v>
      </c>
      <c r="Z172" s="285" t="s">
        <v>633</v>
      </c>
    </row>
    <row r="173" spans="1:26" x14ac:dyDescent="0.25">
      <c r="A173" s="288" t="s">
        <v>449</v>
      </c>
      <c r="B173" s="285" t="s">
        <v>433</v>
      </c>
      <c r="C173" s="285" t="s">
        <v>641</v>
      </c>
      <c r="D173" s="286">
        <v>574355450</v>
      </c>
      <c r="E173" s="286">
        <v>0</v>
      </c>
      <c r="F173" s="286">
        <v>574355450</v>
      </c>
      <c r="G173" s="286">
        <v>3748</v>
      </c>
      <c r="H173" s="287">
        <v>27</v>
      </c>
      <c r="I173" s="287">
        <v>7.12</v>
      </c>
      <c r="J173" s="287">
        <v>18.315999999999999</v>
      </c>
      <c r="K173" s="287">
        <v>1.0489999999999999</v>
      </c>
      <c r="L173" s="287">
        <v>0.51500000000000001</v>
      </c>
      <c r="M173" s="287">
        <v>0</v>
      </c>
      <c r="N173" s="287">
        <v>0</v>
      </c>
      <c r="O173" s="287">
        <v>1.5669999999999999</v>
      </c>
      <c r="P173" s="287">
        <v>7.0000000000000001E-3</v>
      </c>
      <c r="Q173" s="287">
        <v>21.454000000000001</v>
      </c>
      <c r="R173" s="287">
        <v>1.8280000000000001</v>
      </c>
      <c r="S173" s="287">
        <v>0</v>
      </c>
      <c r="T173" s="287">
        <v>0</v>
      </c>
      <c r="U173" s="287">
        <v>0</v>
      </c>
      <c r="V173" s="287">
        <v>0</v>
      </c>
      <c r="W173" s="287">
        <v>23.282</v>
      </c>
      <c r="X173" s="287">
        <v>18.222999999999999</v>
      </c>
      <c r="Y173" s="286">
        <v>298.811210000073</v>
      </c>
      <c r="Z173" s="285" t="s">
        <v>633</v>
      </c>
    </row>
    <row r="174" spans="1:26" x14ac:dyDescent="0.25">
      <c r="A174" s="288" t="s">
        <v>451</v>
      </c>
      <c r="B174" s="285" t="s">
        <v>433</v>
      </c>
      <c r="C174" s="285" t="s">
        <v>640</v>
      </c>
      <c r="D174" s="286">
        <v>740149175</v>
      </c>
      <c r="E174" s="286">
        <v>0</v>
      </c>
      <c r="F174" s="286">
        <v>740149175</v>
      </c>
      <c r="G174" s="286">
        <v>1667.56</v>
      </c>
      <c r="H174" s="287">
        <v>12.375999999999999</v>
      </c>
      <c r="I174" s="287">
        <v>0</v>
      </c>
      <c r="J174" s="287">
        <v>4.2380000000000004</v>
      </c>
      <c r="K174" s="287">
        <v>0.11899999999999999</v>
      </c>
      <c r="L174" s="287">
        <v>8.0190000000000001</v>
      </c>
      <c r="M174" s="287">
        <v>0</v>
      </c>
      <c r="N174" s="287">
        <v>0</v>
      </c>
      <c r="O174" s="287">
        <v>1.2709999999999999</v>
      </c>
      <c r="P174" s="287">
        <v>0</v>
      </c>
      <c r="Q174" s="287">
        <v>13.647</v>
      </c>
      <c r="R174" s="287">
        <v>0.13600000000000001</v>
      </c>
      <c r="S174" s="287">
        <v>0</v>
      </c>
      <c r="T174" s="287">
        <v>0</v>
      </c>
      <c r="U174" s="287">
        <v>0</v>
      </c>
      <c r="V174" s="287">
        <v>0</v>
      </c>
      <c r="W174" s="287">
        <v>13.782999999999999</v>
      </c>
      <c r="X174" s="287">
        <v>4.1840000000000002</v>
      </c>
      <c r="Y174" s="286">
        <v>45.214720000163702</v>
      </c>
      <c r="Z174" s="285" t="s">
        <v>633</v>
      </c>
    </row>
    <row r="175" spans="1:26" x14ac:dyDescent="0.25">
      <c r="A175" s="288" t="s">
        <v>453</v>
      </c>
      <c r="B175" s="285" t="s">
        <v>433</v>
      </c>
      <c r="C175" s="285" t="s">
        <v>639</v>
      </c>
      <c r="D175" s="286">
        <v>579156110</v>
      </c>
      <c r="E175" s="286">
        <v>0</v>
      </c>
      <c r="F175" s="286">
        <v>579156110</v>
      </c>
      <c r="G175" s="286">
        <v>692.66</v>
      </c>
      <c r="H175" s="287">
        <v>5.0679999999999996</v>
      </c>
      <c r="I175" s="287">
        <v>0</v>
      </c>
      <c r="J175" s="287">
        <v>5.0679999999999996</v>
      </c>
      <c r="K175" s="287">
        <v>0</v>
      </c>
      <c r="L175" s="287">
        <v>0</v>
      </c>
      <c r="M175" s="287">
        <v>0</v>
      </c>
      <c r="N175" s="287">
        <v>0</v>
      </c>
      <c r="O175" s="287">
        <v>0.129</v>
      </c>
      <c r="P175" s="287">
        <v>0</v>
      </c>
      <c r="Q175" s="287">
        <v>5.1970000000000001</v>
      </c>
      <c r="R175" s="287">
        <v>0.433</v>
      </c>
      <c r="S175" s="287">
        <v>0</v>
      </c>
      <c r="T175" s="287">
        <v>0</v>
      </c>
      <c r="U175" s="287">
        <v>0</v>
      </c>
      <c r="V175" s="287">
        <v>0</v>
      </c>
      <c r="W175" s="287">
        <v>5.63</v>
      </c>
      <c r="X175" s="287">
        <v>5.5129999999999999</v>
      </c>
      <c r="Y175" s="286">
        <v>258227.80885353099</v>
      </c>
      <c r="Z175" s="285" t="s">
        <v>633</v>
      </c>
    </row>
    <row r="176" spans="1:26" x14ac:dyDescent="0.25">
      <c r="A176" s="288" t="s">
        <v>455</v>
      </c>
      <c r="B176" s="285" t="s">
        <v>433</v>
      </c>
      <c r="C176" s="285" t="s">
        <v>638</v>
      </c>
      <c r="D176" s="286">
        <v>579274570</v>
      </c>
      <c r="E176" s="286">
        <v>0</v>
      </c>
      <c r="F176" s="286">
        <v>579274570</v>
      </c>
      <c r="G176" s="286">
        <v>159.91999999999999</v>
      </c>
      <c r="H176" s="287">
        <v>4.2930000000000001</v>
      </c>
      <c r="I176" s="287">
        <v>0</v>
      </c>
      <c r="J176" s="287">
        <v>2.2269999999999999</v>
      </c>
      <c r="K176" s="287">
        <v>0.11899999999999999</v>
      </c>
      <c r="L176" s="287">
        <v>1.9470000000000001</v>
      </c>
      <c r="M176" s="287">
        <v>0</v>
      </c>
      <c r="N176" s="287">
        <v>0</v>
      </c>
      <c r="O176" s="287">
        <v>0.69899999999999995</v>
      </c>
      <c r="P176" s="287">
        <v>0</v>
      </c>
      <c r="Q176" s="287">
        <v>4.992</v>
      </c>
      <c r="R176" s="287">
        <v>0</v>
      </c>
      <c r="S176" s="287">
        <v>0</v>
      </c>
      <c r="T176" s="287">
        <v>0</v>
      </c>
      <c r="U176" s="287">
        <v>0</v>
      </c>
      <c r="V176" s="287">
        <v>0</v>
      </c>
      <c r="W176" s="287">
        <v>4.992</v>
      </c>
      <c r="X176" s="287">
        <v>2.153</v>
      </c>
      <c r="Y176" s="286">
        <v>436.75286430312599</v>
      </c>
      <c r="Z176" s="285" t="s">
        <v>633</v>
      </c>
    </row>
    <row r="177" spans="1:26" x14ac:dyDescent="0.25">
      <c r="A177" s="288" t="s">
        <v>457</v>
      </c>
      <c r="B177" s="285" t="s">
        <v>458</v>
      </c>
      <c r="C177" s="285" t="s">
        <v>637</v>
      </c>
      <c r="D177" s="286">
        <v>164894890</v>
      </c>
      <c r="E177" s="286">
        <v>0</v>
      </c>
      <c r="F177" s="286">
        <v>164894890</v>
      </c>
      <c r="G177" s="286">
        <v>0</v>
      </c>
      <c r="H177" s="287">
        <v>27</v>
      </c>
      <c r="I177" s="287">
        <v>0</v>
      </c>
      <c r="J177" s="287">
        <v>21.344999999999999</v>
      </c>
      <c r="K177" s="287">
        <v>0</v>
      </c>
      <c r="L177" s="287">
        <v>0</v>
      </c>
      <c r="M177" s="287">
        <v>0</v>
      </c>
      <c r="N177" s="287">
        <v>0</v>
      </c>
      <c r="O177" s="287">
        <v>7.2409999999999997</v>
      </c>
      <c r="P177" s="287">
        <v>0</v>
      </c>
      <c r="Q177" s="287">
        <v>28.585999999999999</v>
      </c>
      <c r="R177" s="287">
        <v>8.4819999999999993</v>
      </c>
      <c r="S177" s="287">
        <v>0</v>
      </c>
      <c r="T177" s="287">
        <v>0</v>
      </c>
      <c r="U177" s="287">
        <v>0</v>
      </c>
      <c r="V177" s="287">
        <v>0</v>
      </c>
      <c r="W177" s="287">
        <v>37.067999999999998</v>
      </c>
      <c r="X177" s="287">
        <v>57.661000000000001</v>
      </c>
      <c r="Y177" s="286">
        <v>6149471.3257999998</v>
      </c>
      <c r="Z177" s="285" t="s">
        <v>633</v>
      </c>
    </row>
    <row r="178" spans="1:26" x14ac:dyDescent="0.25">
      <c r="A178" s="288" t="s">
        <v>460</v>
      </c>
      <c r="B178" s="285" t="s">
        <v>458</v>
      </c>
      <c r="C178" s="285" t="s">
        <v>636</v>
      </c>
      <c r="D178" s="286">
        <v>139736680</v>
      </c>
      <c r="E178" s="286">
        <v>0</v>
      </c>
      <c r="F178" s="286">
        <v>139736680</v>
      </c>
      <c r="G178" s="286">
        <v>0.06</v>
      </c>
      <c r="H178" s="287">
        <v>27</v>
      </c>
      <c r="I178" s="287">
        <v>8.968</v>
      </c>
      <c r="J178" s="287">
        <v>18.032</v>
      </c>
      <c r="K178" s="287">
        <v>0</v>
      </c>
      <c r="L178" s="287">
        <v>0</v>
      </c>
      <c r="M178" s="287">
        <v>0</v>
      </c>
      <c r="N178" s="287">
        <v>0</v>
      </c>
      <c r="O178" s="287">
        <v>11.554</v>
      </c>
      <c r="P178" s="287">
        <v>6.4000000000000001E-2</v>
      </c>
      <c r="Q178" s="287">
        <v>29.65</v>
      </c>
      <c r="R178" s="287">
        <v>8.11</v>
      </c>
      <c r="S178" s="287">
        <v>0</v>
      </c>
      <c r="T178" s="287">
        <v>0</v>
      </c>
      <c r="U178" s="287">
        <v>0</v>
      </c>
      <c r="V178" s="287">
        <v>0</v>
      </c>
      <c r="W178" s="287">
        <v>37.76</v>
      </c>
      <c r="X178" s="287">
        <v>54.578000000000003</v>
      </c>
      <c r="Y178" s="286">
        <v>5246775.0118800001</v>
      </c>
      <c r="Z178" s="285" t="s">
        <v>633</v>
      </c>
    </row>
    <row r="179" spans="1:26" x14ac:dyDescent="0.25">
      <c r="A179" s="288" t="s">
        <v>462</v>
      </c>
      <c r="B179" s="285" t="s">
        <v>458</v>
      </c>
      <c r="C179" s="285" t="s">
        <v>635</v>
      </c>
      <c r="D179" s="286">
        <v>20493755</v>
      </c>
      <c r="E179" s="286">
        <v>0</v>
      </c>
      <c r="F179" s="286">
        <v>20493755</v>
      </c>
      <c r="G179" s="286">
        <v>0</v>
      </c>
      <c r="H179" s="287">
        <v>27</v>
      </c>
      <c r="I179" s="287">
        <v>2.5019999999999998</v>
      </c>
      <c r="J179" s="287">
        <v>24.498000000000001</v>
      </c>
      <c r="K179" s="287">
        <v>0</v>
      </c>
      <c r="L179" s="287">
        <v>0</v>
      </c>
      <c r="M179" s="287">
        <v>0</v>
      </c>
      <c r="N179" s="287">
        <v>0</v>
      </c>
      <c r="O179" s="287">
        <v>0</v>
      </c>
      <c r="P179" s="287">
        <v>0</v>
      </c>
      <c r="Q179" s="287">
        <v>24.498000000000001</v>
      </c>
      <c r="R179" s="287">
        <v>13</v>
      </c>
      <c r="S179" s="287">
        <v>0</v>
      </c>
      <c r="T179" s="287">
        <v>0</v>
      </c>
      <c r="U179" s="287">
        <v>0</v>
      </c>
      <c r="V179" s="287">
        <v>0</v>
      </c>
      <c r="W179" s="287">
        <v>37.497999999999998</v>
      </c>
      <c r="X179" s="287">
        <v>149.54400000000001</v>
      </c>
      <c r="Y179" s="286">
        <v>2620835.0356140002</v>
      </c>
      <c r="Z179" s="285" t="s">
        <v>633</v>
      </c>
    </row>
    <row r="180" spans="1:26" x14ac:dyDescent="0.25">
      <c r="A180" s="288" t="s">
        <v>464</v>
      </c>
      <c r="B180" s="285" t="s">
        <v>458</v>
      </c>
      <c r="C180" s="285" t="s">
        <v>634</v>
      </c>
      <c r="D180" s="286">
        <v>16572261</v>
      </c>
      <c r="E180" s="286">
        <v>0</v>
      </c>
      <c r="F180" s="286">
        <v>16572261</v>
      </c>
      <c r="G180" s="286">
        <v>63.49</v>
      </c>
      <c r="H180" s="287">
        <v>27</v>
      </c>
      <c r="I180" s="287">
        <v>4.3250000000000002</v>
      </c>
      <c r="J180" s="287">
        <v>22.675000000000001</v>
      </c>
      <c r="K180" s="287">
        <v>0</v>
      </c>
      <c r="L180" s="287">
        <v>0</v>
      </c>
      <c r="M180" s="287">
        <v>0</v>
      </c>
      <c r="N180" s="287">
        <v>0</v>
      </c>
      <c r="O180" s="287">
        <v>17.16</v>
      </c>
      <c r="P180" s="287">
        <v>4.0000000000000001E-3</v>
      </c>
      <c r="Q180" s="287">
        <v>39.838999999999999</v>
      </c>
      <c r="R180" s="287">
        <v>0</v>
      </c>
      <c r="S180" s="287">
        <v>0</v>
      </c>
      <c r="T180" s="287">
        <v>0</v>
      </c>
      <c r="U180" s="287">
        <v>0</v>
      </c>
      <c r="V180" s="287">
        <v>0</v>
      </c>
      <c r="W180" s="287">
        <v>39.838999999999999</v>
      </c>
      <c r="X180" s="287">
        <v>80.775000000000006</v>
      </c>
      <c r="Y180" s="286">
        <v>991901.45010000002</v>
      </c>
      <c r="Z180" s="285" t="s">
        <v>633</v>
      </c>
    </row>
    <row r="181" spans="1:26" x14ac:dyDescent="0.25">
      <c r="D181" s="286">
        <f>SUM(D3:D180)</f>
        <v>187315659754</v>
      </c>
      <c r="E181" s="286">
        <f>SUM(E3:E180)</f>
        <v>5880322831</v>
      </c>
      <c r="F181" s="286">
        <f>SUM(F3:F180)</f>
        <v>181435336923</v>
      </c>
      <c r="H181" s="287">
        <f t="shared" ref="H181:W181" si="0">SUM(H3:H180)</f>
        <v>4140.6339999999982</v>
      </c>
      <c r="I181" s="287">
        <f t="shared" si="0"/>
        <v>340.59599999999995</v>
      </c>
      <c r="J181" s="287">
        <f t="shared" si="0"/>
        <v>3763.0219999999977</v>
      </c>
      <c r="K181" s="287">
        <f t="shared" si="0"/>
        <v>4.1420000000000003</v>
      </c>
      <c r="L181" s="287">
        <f t="shared" si="0"/>
        <v>26.925000000000001</v>
      </c>
      <c r="M181" s="287">
        <f t="shared" si="0"/>
        <v>38.114999999999995</v>
      </c>
      <c r="N181" s="287">
        <f t="shared" si="0"/>
        <v>4.4999999999999998E-2</v>
      </c>
      <c r="O181" s="287">
        <f t="shared" si="0"/>
        <v>748.88752699999986</v>
      </c>
      <c r="P181" s="287">
        <f t="shared" si="0"/>
        <v>21.875443999999995</v>
      </c>
      <c r="Q181" s="287">
        <f t="shared" si="0"/>
        <v>4578.5929709999964</v>
      </c>
      <c r="R181" s="287">
        <f t="shared" si="0"/>
        <v>1047.4974990000001</v>
      </c>
      <c r="S181" s="287">
        <f t="shared" si="0"/>
        <v>5.9409999999999989</v>
      </c>
      <c r="T181" s="287">
        <f t="shared" si="0"/>
        <v>12.173</v>
      </c>
      <c r="U181" s="287">
        <f t="shared" si="0"/>
        <v>22.797523999999999</v>
      </c>
      <c r="V181" s="287">
        <f t="shared" si="0"/>
        <v>6.3120000000000003</v>
      </c>
      <c r="W181" s="287">
        <f t="shared" si="0"/>
        <v>5697.7329940000036</v>
      </c>
    </row>
    <row r="182" spans="1:26" x14ac:dyDescent="0.25">
      <c r="G182" s="286" t="s">
        <v>632</v>
      </c>
      <c r="H182" s="287">
        <f>+'[1]Final Mill Levies'!G622</f>
        <v>4140.6339999999982</v>
      </c>
      <c r="I182" s="287">
        <f>+'[1]Final Mill Levies'!H622</f>
        <v>346.25099999999992</v>
      </c>
      <c r="J182" s="287">
        <f>+'[1]Final Mill Levies'!I622</f>
        <v>3763.0219999999977</v>
      </c>
      <c r="K182" s="287">
        <f>+'[1]Final Mill Levies'!K622</f>
        <v>4.1420000000000003</v>
      </c>
      <c r="L182" s="287">
        <f>+'[1]Final Mill Levies'!M622</f>
        <v>26.925000000000001</v>
      </c>
      <c r="M182" s="287">
        <f>+'[1]Final Mill Levies'!N622</f>
        <v>38.114999999999995</v>
      </c>
      <c r="N182" s="287">
        <f>+'[1]Final Mill Levies'!P622</f>
        <v>4.4999999999999998E-2</v>
      </c>
      <c r="O182" s="287">
        <f>+'[1]Final Mill Levies'!R622</f>
        <v>748.88752699999986</v>
      </c>
      <c r="P182" s="287">
        <f>+'[1]Final Mill Levies'!T622</f>
        <v>21.875443999999995</v>
      </c>
      <c r="R182" s="287">
        <f>+'[1]Final Mill Levies'!V622</f>
        <v>1047.4974990000001</v>
      </c>
      <c r="S182" s="287">
        <f>+'[1]Final Mill Levies'!X622</f>
        <v>5.9409999999999989</v>
      </c>
      <c r="T182" s="287">
        <f>+'[1]Final Mill Levies'!Z622</f>
        <v>12.173</v>
      </c>
      <c r="U182" s="287">
        <f>+'[1]Final Mill Levies'!AB622</f>
        <v>22.797523999999999</v>
      </c>
      <c r="V182" s="287">
        <f>+'[1]Final Mill Levies'!AD622</f>
        <v>6.3120000000000003</v>
      </c>
      <c r="W182" s="287">
        <f>+'[1]Final Mill Levies'!AF622</f>
        <v>5697.7329940000036</v>
      </c>
    </row>
  </sheetData>
  <sheetProtection algorithmName="SHA-512" hashValue="lBDRsFOHZvmCHUDpdFI8ZrYhXsYTu73QELkq+f3lGCSTxFxX6BOb5eUT3ERzDhbtBDx3CGcZ3mhKBCSJcGm2xA==" saltValue="ZgsHcbDV1Wr5XKUzaTkUlA=="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FE716-E9D9-4705-A818-D21A0F8AEB59}">
  <dimension ref="A1:AX365"/>
  <sheetViews>
    <sheetView workbookViewId="0">
      <pane xSplit="6" ySplit="2" topLeftCell="G3" activePane="bottomRight" state="frozen"/>
      <selection pane="topRight" activeCell="E187" sqref="E187:E188"/>
      <selection pane="bottomLeft" activeCell="E187" sqref="E187:E188"/>
      <selection pane="bottomRight" activeCell="C121" sqref="C121"/>
    </sheetView>
  </sheetViews>
  <sheetFormatPr defaultRowHeight="12.5" x14ac:dyDescent="0.25"/>
  <cols>
    <col min="1" max="1" width="6.08203125" style="187" bestFit="1" customWidth="1"/>
    <col min="2" max="2" width="14.33203125" style="187" bestFit="1" customWidth="1"/>
    <col min="3" max="3" width="21.75" style="187" bestFit="1" customWidth="1"/>
    <col min="4" max="4" width="17.75" style="220" customWidth="1"/>
    <col min="5" max="5" width="15.08203125" style="220" bestFit="1" customWidth="1"/>
    <col min="6" max="6" width="17.9140625" style="220" bestFit="1" customWidth="1"/>
    <col min="7" max="7" width="14" style="220" bestFit="1" customWidth="1"/>
    <col min="8" max="8" width="11.4140625" style="196" bestFit="1" customWidth="1"/>
    <col min="9" max="9" width="10.33203125" style="180" customWidth="1"/>
    <col min="10" max="10" width="10" style="210" bestFit="1" customWidth="1"/>
    <col min="11" max="11" width="9" style="187" bestFit="1" customWidth="1"/>
    <col min="12" max="12" width="9.08203125" style="187" customWidth="1"/>
    <col min="13" max="13" width="11.4140625" style="187" bestFit="1" customWidth="1"/>
    <col min="14" max="14" width="10.4140625" style="213" bestFit="1" customWidth="1"/>
    <col min="15" max="15" width="11.4140625" style="213" bestFit="1" customWidth="1"/>
    <col min="16" max="16" width="14.4140625" style="213" bestFit="1" customWidth="1"/>
    <col min="17" max="17" width="9.75" style="213" bestFit="1" customWidth="1"/>
    <col min="18" max="18" width="19.4140625" style="180" bestFit="1" customWidth="1"/>
    <col min="19" max="20" width="12.58203125" style="187" customWidth="1"/>
    <col min="21" max="22" width="12.58203125" style="197" customWidth="1"/>
    <col min="23" max="23" width="12.58203125" style="180" customWidth="1"/>
    <col min="24" max="24" width="12.4140625" style="187" bestFit="1" customWidth="1"/>
    <col min="25" max="25" width="21.25" style="220" bestFit="1" customWidth="1"/>
    <col min="26" max="26" width="18.75" style="220" bestFit="1" customWidth="1"/>
    <col min="27" max="27" width="8.6640625" style="154"/>
    <col min="28" max="28" width="14.4140625" style="157" bestFit="1" customWidth="1"/>
    <col min="29" max="30" width="15.75" style="157" bestFit="1" customWidth="1"/>
    <col min="31" max="31" width="12.75" style="157" bestFit="1" customWidth="1"/>
    <col min="32" max="33" width="10.4140625" style="157" bestFit="1" customWidth="1"/>
    <col min="34" max="34" width="11.25" style="157" bestFit="1" customWidth="1"/>
    <col min="35" max="35" width="10.4140625" style="157" bestFit="1" customWidth="1"/>
    <col min="36" max="36" width="11.25" style="157" bestFit="1" customWidth="1"/>
    <col min="37" max="37" width="14" style="157" customWidth="1"/>
    <col min="38" max="38" width="12.08203125" style="157" customWidth="1"/>
    <col min="39" max="39" width="12.58203125" style="157" customWidth="1"/>
    <col min="40" max="40" width="12.4140625" style="157" customWidth="1"/>
    <col min="41" max="42" width="11.25" style="157" bestFit="1" customWidth="1"/>
    <col min="43" max="45" width="10.4140625" style="157" bestFit="1" customWidth="1"/>
    <col min="46" max="48" width="11.25" style="157" bestFit="1" customWidth="1"/>
    <col min="49" max="50" width="11.75" style="157" bestFit="1" customWidth="1"/>
    <col min="51" max="254" width="8.6640625" style="157"/>
    <col min="255" max="255" width="6.08203125" style="157" bestFit="1" customWidth="1"/>
    <col min="256" max="256" width="14.33203125" style="157" bestFit="1" customWidth="1"/>
    <col min="257" max="257" width="21.75" style="157" bestFit="1" customWidth="1"/>
    <col min="258" max="258" width="0" style="157" hidden="1" customWidth="1"/>
    <col min="259" max="259" width="16.4140625" style="157" bestFit="1" customWidth="1"/>
    <col min="260" max="260" width="14" style="157" bestFit="1" customWidth="1"/>
    <col min="261" max="261" width="15.4140625" style="157" bestFit="1" customWidth="1"/>
    <col min="262" max="262" width="9.75" style="157" bestFit="1" customWidth="1"/>
    <col min="263" max="263" width="8.75" style="157" bestFit="1" customWidth="1"/>
    <col min="264" max="264" width="11.4140625" style="157" bestFit="1" customWidth="1"/>
    <col min="265" max="265" width="10.4140625" style="157" bestFit="1" customWidth="1"/>
    <col min="266" max="266" width="11.4140625" style="157" bestFit="1" customWidth="1"/>
    <col min="267" max="267" width="12.4140625" style="157" bestFit="1" customWidth="1"/>
    <col min="268" max="268" width="9.08203125" style="157" bestFit="1" customWidth="1"/>
    <col min="269" max="269" width="12.4140625" style="157" bestFit="1" customWidth="1"/>
    <col min="270" max="270" width="16.4140625" style="157" bestFit="1" customWidth="1"/>
    <col min="271" max="271" width="13.75" style="157" bestFit="1" customWidth="1"/>
    <col min="272" max="272" width="8.58203125" style="157" bestFit="1" customWidth="1"/>
    <col min="273" max="273" width="6.58203125" style="157" bestFit="1" customWidth="1"/>
    <col min="274" max="274" width="9.08203125" style="157" customWidth="1"/>
    <col min="275" max="275" width="6.08203125" style="157" bestFit="1" customWidth="1"/>
    <col min="276" max="276" width="9.33203125" style="157" bestFit="1" customWidth="1"/>
    <col min="277" max="277" width="10.4140625" style="157" bestFit="1" customWidth="1"/>
    <col min="278" max="510" width="8.6640625" style="157"/>
    <col min="511" max="511" width="6.08203125" style="157" bestFit="1" customWidth="1"/>
    <col min="512" max="512" width="14.33203125" style="157" bestFit="1" customWidth="1"/>
    <col min="513" max="513" width="21.75" style="157" bestFit="1" customWidth="1"/>
    <col min="514" max="514" width="0" style="157" hidden="1" customWidth="1"/>
    <col min="515" max="515" width="16.4140625" style="157" bestFit="1" customWidth="1"/>
    <col min="516" max="516" width="14" style="157" bestFit="1" customWidth="1"/>
    <col min="517" max="517" width="15.4140625" style="157" bestFit="1" customWidth="1"/>
    <col min="518" max="518" width="9.75" style="157" bestFit="1" customWidth="1"/>
    <col min="519" max="519" width="8.75" style="157" bestFit="1" customWidth="1"/>
    <col min="520" max="520" width="11.4140625" style="157" bestFit="1" customWidth="1"/>
    <col min="521" max="521" width="10.4140625" style="157" bestFit="1" customWidth="1"/>
    <col min="522" max="522" width="11.4140625" style="157" bestFit="1" customWidth="1"/>
    <col min="523" max="523" width="12.4140625" style="157" bestFit="1" customWidth="1"/>
    <col min="524" max="524" width="9.08203125" style="157" bestFit="1" customWidth="1"/>
    <col min="525" max="525" width="12.4140625" style="157" bestFit="1" customWidth="1"/>
    <col min="526" max="526" width="16.4140625" style="157" bestFit="1" customWidth="1"/>
    <col min="527" max="527" width="13.75" style="157" bestFit="1" customWidth="1"/>
    <col min="528" max="528" width="8.58203125" style="157" bestFit="1" customWidth="1"/>
    <col min="529" max="529" width="6.58203125" style="157" bestFit="1" customWidth="1"/>
    <col min="530" max="530" width="9.08203125" style="157" customWidth="1"/>
    <col min="531" max="531" width="6.08203125" style="157" bestFit="1" customWidth="1"/>
    <col min="532" max="532" width="9.33203125" style="157" bestFit="1" customWidth="1"/>
    <col min="533" max="533" width="10.4140625" style="157" bestFit="1" customWidth="1"/>
    <col min="534" max="766" width="8.6640625" style="157"/>
    <col min="767" max="767" width="6.08203125" style="157" bestFit="1" customWidth="1"/>
    <col min="768" max="768" width="14.33203125" style="157" bestFit="1" customWidth="1"/>
    <col min="769" max="769" width="21.75" style="157" bestFit="1" customWidth="1"/>
    <col min="770" max="770" width="0" style="157" hidden="1" customWidth="1"/>
    <col min="771" max="771" width="16.4140625" style="157" bestFit="1" customWidth="1"/>
    <col min="772" max="772" width="14" style="157" bestFit="1" customWidth="1"/>
    <col min="773" max="773" width="15.4140625" style="157" bestFit="1" customWidth="1"/>
    <col min="774" max="774" width="9.75" style="157" bestFit="1" customWidth="1"/>
    <col min="775" max="775" width="8.75" style="157" bestFit="1" customWidth="1"/>
    <col min="776" max="776" width="11.4140625" style="157" bestFit="1" customWidth="1"/>
    <col min="777" max="777" width="10.4140625" style="157" bestFit="1" customWidth="1"/>
    <col min="778" max="778" width="11.4140625" style="157" bestFit="1" customWidth="1"/>
    <col min="779" max="779" width="12.4140625" style="157" bestFit="1" customWidth="1"/>
    <col min="780" max="780" width="9.08203125" style="157" bestFit="1" customWidth="1"/>
    <col min="781" max="781" width="12.4140625" style="157" bestFit="1" customWidth="1"/>
    <col min="782" max="782" width="16.4140625" style="157" bestFit="1" customWidth="1"/>
    <col min="783" max="783" width="13.75" style="157" bestFit="1" customWidth="1"/>
    <col min="784" max="784" width="8.58203125" style="157" bestFit="1" customWidth="1"/>
    <col min="785" max="785" width="6.58203125" style="157" bestFit="1" customWidth="1"/>
    <col min="786" max="786" width="9.08203125" style="157" customWidth="1"/>
    <col min="787" max="787" width="6.08203125" style="157" bestFit="1" customWidth="1"/>
    <col min="788" max="788" width="9.33203125" style="157" bestFit="1" customWidth="1"/>
    <col min="789" max="789" width="10.4140625" style="157" bestFit="1" customWidth="1"/>
    <col min="790" max="1022" width="8.6640625" style="157"/>
    <col min="1023" max="1023" width="6.08203125" style="157" bestFit="1" customWidth="1"/>
    <col min="1024" max="1024" width="14.33203125" style="157" bestFit="1" customWidth="1"/>
    <col min="1025" max="1025" width="21.75" style="157" bestFit="1" customWidth="1"/>
    <col min="1026" max="1026" width="0" style="157" hidden="1" customWidth="1"/>
    <col min="1027" max="1027" width="16.4140625" style="157" bestFit="1" customWidth="1"/>
    <col min="1028" max="1028" width="14" style="157" bestFit="1" customWidth="1"/>
    <col min="1029" max="1029" width="15.4140625" style="157" bestFit="1" customWidth="1"/>
    <col min="1030" max="1030" width="9.75" style="157" bestFit="1" customWidth="1"/>
    <col min="1031" max="1031" width="8.75" style="157" bestFit="1" customWidth="1"/>
    <col min="1032" max="1032" width="11.4140625" style="157" bestFit="1" customWidth="1"/>
    <col min="1033" max="1033" width="10.4140625" style="157" bestFit="1" customWidth="1"/>
    <col min="1034" max="1034" width="11.4140625" style="157" bestFit="1" customWidth="1"/>
    <col min="1035" max="1035" width="12.4140625" style="157" bestFit="1" customWidth="1"/>
    <col min="1036" max="1036" width="9.08203125" style="157" bestFit="1" customWidth="1"/>
    <col min="1037" max="1037" width="12.4140625" style="157" bestFit="1" customWidth="1"/>
    <col min="1038" max="1038" width="16.4140625" style="157" bestFit="1" customWidth="1"/>
    <col min="1039" max="1039" width="13.75" style="157" bestFit="1" customWidth="1"/>
    <col min="1040" max="1040" width="8.58203125" style="157" bestFit="1" customWidth="1"/>
    <col min="1041" max="1041" width="6.58203125" style="157" bestFit="1" customWidth="1"/>
    <col min="1042" max="1042" width="9.08203125" style="157" customWidth="1"/>
    <col min="1043" max="1043" width="6.08203125" style="157" bestFit="1" customWidth="1"/>
    <col min="1044" max="1044" width="9.33203125" style="157" bestFit="1" customWidth="1"/>
    <col min="1045" max="1045" width="10.4140625" style="157" bestFit="1" customWidth="1"/>
    <col min="1046" max="1278" width="8.6640625" style="157"/>
    <col min="1279" max="1279" width="6.08203125" style="157" bestFit="1" customWidth="1"/>
    <col min="1280" max="1280" width="14.33203125" style="157" bestFit="1" customWidth="1"/>
    <col min="1281" max="1281" width="21.75" style="157" bestFit="1" customWidth="1"/>
    <col min="1282" max="1282" width="0" style="157" hidden="1" customWidth="1"/>
    <col min="1283" max="1283" width="16.4140625" style="157" bestFit="1" customWidth="1"/>
    <col min="1284" max="1284" width="14" style="157" bestFit="1" customWidth="1"/>
    <col min="1285" max="1285" width="15.4140625" style="157" bestFit="1" customWidth="1"/>
    <col min="1286" max="1286" width="9.75" style="157" bestFit="1" customWidth="1"/>
    <col min="1287" max="1287" width="8.75" style="157" bestFit="1" customWidth="1"/>
    <col min="1288" max="1288" width="11.4140625" style="157" bestFit="1" customWidth="1"/>
    <col min="1289" max="1289" width="10.4140625" style="157" bestFit="1" customWidth="1"/>
    <col min="1290" max="1290" width="11.4140625" style="157" bestFit="1" customWidth="1"/>
    <col min="1291" max="1291" width="12.4140625" style="157" bestFit="1" customWidth="1"/>
    <col min="1292" max="1292" width="9.08203125" style="157" bestFit="1" customWidth="1"/>
    <col min="1293" max="1293" width="12.4140625" style="157" bestFit="1" customWidth="1"/>
    <col min="1294" max="1294" width="16.4140625" style="157" bestFit="1" customWidth="1"/>
    <col min="1295" max="1295" width="13.75" style="157" bestFit="1" customWidth="1"/>
    <col min="1296" max="1296" width="8.58203125" style="157" bestFit="1" customWidth="1"/>
    <col min="1297" max="1297" width="6.58203125" style="157" bestFit="1" customWidth="1"/>
    <col min="1298" max="1298" width="9.08203125" style="157" customWidth="1"/>
    <col min="1299" max="1299" width="6.08203125" style="157" bestFit="1" customWidth="1"/>
    <col min="1300" max="1300" width="9.33203125" style="157" bestFit="1" customWidth="1"/>
    <col min="1301" max="1301" width="10.4140625" style="157" bestFit="1" customWidth="1"/>
    <col min="1302" max="1534" width="8.6640625" style="157"/>
    <col min="1535" max="1535" width="6.08203125" style="157" bestFit="1" customWidth="1"/>
    <col min="1536" max="1536" width="14.33203125" style="157" bestFit="1" customWidth="1"/>
    <col min="1537" max="1537" width="21.75" style="157" bestFit="1" customWidth="1"/>
    <col min="1538" max="1538" width="0" style="157" hidden="1" customWidth="1"/>
    <col min="1539" max="1539" width="16.4140625" style="157" bestFit="1" customWidth="1"/>
    <col min="1540" max="1540" width="14" style="157" bestFit="1" customWidth="1"/>
    <col min="1541" max="1541" width="15.4140625" style="157" bestFit="1" customWidth="1"/>
    <col min="1542" max="1542" width="9.75" style="157" bestFit="1" customWidth="1"/>
    <col min="1543" max="1543" width="8.75" style="157" bestFit="1" customWidth="1"/>
    <col min="1544" max="1544" width="11.4140625" style="157" bestFit="1" customWidth="1"/>
    <col min="1545" max="1545" width="10.4140625" style="157" bestFit="1" customWidth="1"/>
    <col min="1546" max="1546" width="11.4140625" style="157" bestFit="1" customWidth="1"/>
    <col min="1547" max="1547" width="12.4140625" style="157" bestFit="1" customWidth="1"/>
    <col min="1548" max="1548" width="9.08203125" style="157" bestFit="1" customWidth="1"/>
    <col min="1549" max="1549" width="12.4140625" style="157" bestFit="1" customWidth="1"/>
    <col min="1550" max="1550" width="16.4140625" style="157" bestFit="1" customWidth="1"/>
    <col min="1551" max="1551" width="13.75" style="157" bestFit="1" customWidth="1"/>
    <col min="1552" max="1552" width="8.58203125" style="157" bestFit="1" customWidth="1"/>
    <col min="1553" max="1553" width="6.58203125" style="157" bestFit="1" customWidth="1"/>
    <col min="1554" max="1554" width="9.08203125" style="157" customWidth="1"/>
    <col min="1555" max="1555" width="6.08203125" style="157" bestFit="1" customWidth="1"/>
    <col min="1556" max="1556" width="9.33203125" style="157" bestFit="1" customWidth="1"/>
    <col min="1557" max="1557" width="10.4140625" style="157" bestFit="1" customWidth="1"/>
    <col min="1558" max="1790" width="8.6640625" style="157"/>
    <col min="1791" max="1791" width="6.08203125" style="157" bestFit="1" customWidth="1"/>
    <col min="1792" max="1792" width="14.33203125" style="157" bestFit="1" customWidth="1"/>
    <col min="1793" max="1793" width="21.75" style="157" bestFit="1" customWidth="1"/>
    <col min="1794" max="1794" width="0" style="157" hidden="1" customWidth="1"/>
    <col min="1795" max="1795" width="16.4140625" style="157" bestFit="1" customWidth="1"/>
    <col min="1796" max="1796" width="14" style="157" bestFit="1" customWidth="1"/>
    <col min="1797" max="1797" width="15.4140625" style="157" bestFit="1" customWidth="1"/>
    <col min="1798" max="1798" width="9.75" style="157" bestFit="1" customWidth="1"/>
    <col min="1799" max="1799" width="8.75" style="157" bestFit="1" customWidth="1"/>
    <col min="1800" max="1800" width="11.4140625" style="157" bestFit="1" customWidth="1"/>
    <col min="1801" max="1801" width="10.4140625" style="157" bestFit="1" customWidth="1"/>
    <col min="1802" max="1802" width="11.4140625" style="157" bestFit="1" customWidth="1"/>
    <col min="1803" max="1803" width="12.4140625" style="157" bestFit="1" customWidth="1"/>
    <col min="1804" max="1804" width="9.08203125" style="157" bestFit="1" customWidth="1"/>
    <col min="1805" max="1805" width="12.4140625" style="157" bestFit="1" customWidth="1"/>
    <col min="1806" max="1806" width="16.4140625" style="157" bestFit="1" customWidth="1"/>
    <col min="1807" max="1807" width="13.75" style="157" bestFit="1" customWidth="1"/>
    <col min="1808" max="1808" width="8.58203125" style="157" bestFit="1" customWidth="1"/>
    <col min="1809" max="1809" width="6.58203125" style="157" bestFit="1" customWidth="1"/>
    <col min="1810" max="1810" width="9.08203125" style="157" customWidth="1"/>
    <col min="1811" max="1811" width="6.08203125" style="157" bestFit="1" customWidth="1"/>
    <col min="1812" max="1812" width="9.33203125" style="157" bestFit="1" customWidth="1"/>
    <col min="1813" max="1813" width="10.4140625" style="157" bestFit="1" customWidth="1"/>
    <col min="1814" max="2046" width="8.6640625" style="157"/>
    <col min="2047" max="2047" width="6.08203125" style="157" bestFit="1" customWidth="1"/>
    <col min="2048" max="2048" width="14.33203125" style="157" bestFit="1" customWidth="1"/>
    <col min="2049" max="2049" width="21.75" style="157" bestFit="1" customWidth="1"/>
    <col min="2050" max="2050" width="0" style="157" hidden="1" customWidth="1"/>
    <col min="2051" max="2051" width="16.4140625" style="157" bestFit="1" customWidth="1"/>
    <col min="2052" max="2052" width="14" style="157" bestFit="1" customWidth="1"/>
    <col min="2053" max="2053" width="15.4140625" style="157" bestFit="1" customWidth="1"/>
    <col min="2054" max="2054" width="9.75" style="157" bestFit="1" customWidth="1"/>
    <col min="2055" max="2055" width="8.75" style="157" bestFit="1" customWidth="1"/>
    <col min="2056" max="2056" width="11.4140625" style="157" bestFit="1" customWidth="1"/>
    <col min="2057" max="2057" width="10.4140625" style="157" bestFit="1" customWidth="1"/>
    <col min="2058" max="2058" width="11.4140625" style="157" bestFit="1" customWidth="1"/>
    <col min="2059" max="2059" width="12.4140625" style="157" bestFit="1" customWidth="1"/>
    <col min="2060" max="2060" width="9.08203125" style="157" bestFit="1" customWidth="1"/>
    <col min="2061" max="2061" width="12.4140625" style="157" bestFit="1" customWidth="1"/>
    <col min="2062" max="2062" width="16.4140625" style="157" bestFit="1" customWidth="1"/>
    <col min="2063" max="2063" width="13.75" style="157" bestFit="1" customWidth="1"/>
    <col min="2064" max="2064" width="8.58203125" style="157" bestFit="1" customWidth="1"/>
    <col min="2065" max="2065" width="6.58203125" style="157" bestFit="1" customWidth="1"/>
    <col min="2066" max="2066" width="9.08203125" style="157" customWidth="1"/>
    <col min="2067" max="2067" width="6.08203125" style="157" bestFit="1" customWidth="1"/>
    <col min="2068" max="2068" width="9.33203125" style="157" bestFit="1" customWidth="1"/>
    <col min="2069" max="2069" width="10.4140625" style="157" bestFit="1" customWidth="1"/>
    <col min="2070" max="2302" width="8.6640625" style="157"/>
    <col min="2303" max="2303" width="6.08203125" style="157" bestFit="1" customWidth="1"/>
    <col min="2304" max="2304" width="14.33203125" style="157" bestFit="1" customWidth="1"/>
    <col min="2305" max="2305" width="21.75" style="157" bestFit="1" customWidth="1"/>
    <col min="2306" max="2306" width="0" style="157" hidden="1" customWidth="1"/>
    <col min="2307" max="2307" width="16.4140625" style="157" bestFit="1" customWidth="1"/>
    <col min="2308" max="2308" width="14" style="157" bestFit="1" customWidth="1"/>
    <col min="2309" max="2309" width="15.4140625" style="157" bestFit="1" customWidth="1"/>
    <col min="2310" max="2310" width="9.75" style="157" bestFit="1" customWidth="1"/>
    <col min="2311" max="2311" width="8.75" style="157" bestFit="1" customWidth="1"/>
    <col min="2312" max="2312" width="11.4140625" style="157" bestFit="1" customWidth="1"/>
    <col min="2313" max="2313" width="10.4140625" style="157" bestFit="1" customWidth="1"/>
    <col min="2314" max="2314" width="11.4140625" style="157" bestFit="1" customWidth="1"/>
    <col min="2315" max="2315" width="12.4140625" style="157" bestFit="1" customWidth="1"/>
    <col min="2316" max="2316" width="9.08203125" style="157" bestFit="1" customWidth="1"/>
    <col min="2317" max="2317" width="12.4140625" style="157" bestFit="1" customWidth="1"/>
    <col min="2318" max="2318" width="16.4140625" style="157" bestFit="1" customWidth="1"/>
    <col min="2319" max="2319" width="13.75" style="157" bestFit="1" customWidth="1"/>
    <col min="2320" max="2320" width="8.58203125" style="157" bestFit="1" customWidth="1"/>
    <col min="2321" max="2321" width="6.58203125" style="157" bestFit="1" customWidth="1"/>
    <col min="2322" max="2322" width="9.08203125" style="157" customWidth="1"/>
    <col min="2323" max="2323" width="6.08203125" style="157" bestFit="1" customWidth="1"/>
    <col min="2324" max="2324" width="9.33203125" style="157" bestFit="1" customWidth="1"/>
    <col min="2325" max="2325" width="10.4140625" style="157" bestFit="1" customWidth="1"/>
    <col min="2326" max="2558" width="8.6640625" style="157"/>
    <col min="2559" max="2559" width="6.08203125" style="157" bestFit="1" customWidth="1"/>
    <col min="2560" max="2560" width="14.33203125" style="157" bestFit="1" customWidth="1"/>
    <col min="2561" max="2561" width="21.75" style="157" bestFit="1" customWidth="1"/>
    <col min="2562" max="2562" width="0" style="157" hidden="1" customWidth="1"/>
    <col min="2563" max="2563" width="16.4140625" style="157" bestFit="1" customWidth="1"/>
    <col min="2564" max="2564" width="14" style="157" bestFit="1" customWidth="1"/>
    <col min="2565" max="2565" width="15.4140625" style="157" bestFit="1" customWidth="1"/>
    <col min="2566" max="2566" width="9.75" style="157" bestFit="1" customWidth="1"/>
    <col min="2567" max="2567" width="8.75" style="157" bestFit="1" customWidth="1"/>
    <col min="2568" max="2568" width="11.4140625" style="157" bestFit="1" customWidth="1"/>
    <col min="2569" max="2569" width="10.4140625" style="157" bestFit="1" customWidth="1"/>
    <col min="2570" max="2570" width="11.4140625" style="157" bestFit="1" customWidth="1"/>
    <col min="2571" max="2571" width="12.4140625" style="157" bestFit="1" customWidth="1"/>
    <col min="2572" max="2572" width="9.08203125" style="157" bestFit="1" customWidth="1"/>
    <col min="2573" max="2573" width="12.4140625" style="157" bestFit="1" customWidth="1"/>
    <col min="2574" max="2574" width="16.4140625" style="157" bestFit="1" customWidth="1"/>
    <col min="2575" max="2575" width="13.75" style="157" bestFit="1" customWidth="1"/>
    <col min="2576" max="2576" width="8.58203125" style="157" bestFit="1" customWidth="1"/>
    <col min="2577" max="2577" width="6.58203125" style="157" bestFit="1" customWidth="1"/>
    <col min="2578" max="2578" width="9.08203125" style="157" customWidth="1"/>
    <col min="2579" max="2579" width="6.08203125" style="157" bestFit="1" customWidth="1"/>
    <col min="2580" max="2580" width="9.33203125" style="157" bestFit="1" customWidth="1"/>
    <col min="2581" max="2581" width="10.4140625" style="157" bestFit="1" customWidth="1"/>
    <col min="2582" max="2814" width="8.6640625" style="157"/>
    <col min="2815" max="2815" width="6.08203125" style="157" bestFit="1" customWidth="1"/>
    <col min="2816" max="2816" width="14.33203125" style="157" bestFit="1" customWidth="1"/>
    <col min="2817" max="2817" width="21.75" style="157" bestFit="1" customWidth="1"/>
    <col min="2818" max="2818" width="0" style="157" hidden="1" customWidth="1"/>
    <col min="2819" max="2819" width="16.4140625" style="157" bestFit="1" customWidth="1"/>
    <col min="2820" max="2820" width="14" style="157" bestFit="1" customWidth="1"/>
    <col min="2821" max="2821" width="15.4140625" style="157" bestFit="1" customWidth="1"/>
    <col min="2822" max="2822" width="9.75" style="157" bestFit="1" customWidth="1"/>
    <col min="2823" max="2823" width="8.75" style="157" bestFit="1" customWidth="1"/>
    <col min="2824" max="2824" width="11.4140625" style="157" bestFit="1" customWidth="1"/>
    <col min="2825" max="2825" width="10.4140625" style="157" bestFit="1" customWidth="1"/>
    <col min="2826" max="2826" width="11.4140625" style="157" bestFit="1" customWidth="1"/>
    <col min="2827" max="2827" width="12.4140625" style="157" bestFit="1" customWidth="1"/>
    <col min="2828" max="2828" width="9.08203125" style="157" bestFit="1" customWidth="1"/>
    <col min="2829" max="2829" width="12.4140625" style="157" bestFit="1" customWidth="1"/>
    <col min="2830" max="2830" width="16.4140625" style="157" bestFit="1" customWidth="1"/>
    <col min="2831" max="2831" width="13.75" style="157" bestFit="1" customWidth="1"/>
    <col min="2832" max="2832" width="8.58203125" style="157" bestFit="1" customWidth="1"/>
    <col min="2833" max="2833" width="6.58203125" style="157" bestFit="1" customWidth="1"/>
    <col min="2834" max="2834" width="9.08203125" style="157" customWidth="1"/>
    <col min="2835" max="2835" width="6.08203125" style="157" bestFit="1" customWidth="1"/>
    <col min="2836" max="2836" width="9.33203125" style="157" bestFit="1" customWidth="1"/>
    <col min="2837" max="2837" width="10.4140625" style="157" bestFit="1" customWidth="1"/>
    <col min="2838" max="3070" width="8.6640625" style="157"/>
    <col min="3071" max="3071" width="6.08203125" style="157" bestFit="1" customWidth="1"/>
    <col min="3072" max="3072" width="14.33203125" style="157" bestFit="1" customWidth="1"/>
    <col min="3073" max="3073" width="21.75" style="157" bestFit="1" customWidth="1"/>
    <col min="3074" max="3074" width="0" style="157" hidden="1" customWidth="1"/>
    <col min="3075" max="3075" width="16.4140625" style="157" bestFit="1" customWidth="1"/>
    <col min="3076" max="3076" width="14" style="157" bestFit="1" customWidth="1"/>
    <col min="3077" max="3077" width="15.4140625" style="157" bestFit="1" customWidth="1"/>
    <col min="3078" max="3078" width="9.75" style="157" bestFit="1" customWidth="1"/>
    <col min="3079" max="3079" width="8.75" style="157" bestFit="1" customWidth="1"/>
    <col min="3080" max="3080" width="11.4140625" style="157" bestFit="1" customWidth="1"/>
    <col min="3081" max="3081" width="10.4140625" style="157" bestFit="1" customWidth="1"/>
    <col min="3082" max="3082" width="11.4140625" style="157" bestFit="1" customWidth="1"/>
    <col min="3083" max="3083" width="12.4140625" style="157" bestFit="1" customWidth="1"/>
    <col min="3084" max="3084" width="9.08203125" style="157" bestFit="1" customWidth="1"/>
    <col min="3085" max="3085" width="12.4140625" style="157" bestFit="1" customWidth="1"/>
    <col min="3086" max="3086" width="16.4140625" style="157" bestFit="1" customWidth="1"/>
    <col min="3087" max="3087" width="13.75" style="157" bestFit="1" customWidth="1"/>
    <col min="3088" max="3088" width="8.58203125" style="157" bestFit="1" customWidth="1"/>
    <col min="3089" max="3089" width="6.58203125" style="157" bestFit="1" customWidth="1"/>
    <col min="3090" max="3090" width="9.08203125" style="157" customWidth="1"/>
    <col min="3091" max="3091" width="6.08203125" style="157" bestFit="1" customWidth="1"/>
    <col min="3092" max="3092" width="9.33203125" style="157" bestFit="1" customWidth="1"/>
    <col min="3093" max="3093" width="10.4140625" style="157" bestFit="1" customWidth="1"/>
    <col min="3094" max="3326" width="8.6640625" style="157"/>
    <col min="3327" max="3327" width="6.08203125" style="157" bestFit="1" customWidth="1"/>
    <col min="3328" max="3328" width="14.33203125" style="157" bestFit="1" customWidth="1"/>
    <col min="3329" max="3329" width="21.75" style="157" bestFit="1" customWidth="1"/>
    <col min="3330" max="3330" width="0" style="157" hidden="1" customWidth="1"/>
    <col min="3331" max="3331" width="16.4140625" style="157" bestFit="1" customWidth="1"/>
    <col min="3332" max="3332" width="14" style="157" bestFit="1" customWidth="1"/>
    <col min="3333" max="3333" width="15.4140625" style="157" bestFit="1" customWidth="1"/>
    <col min="3334" max="3334" width="9.75" style="157" bestFit="1" customWidth="1"/>
    <col min="3335" max="3335" width="8.75" style="157" bestFit="1" customWidth="1"/>
    <col min="3336" max="3336" width="11.4140625" style="157" bestFit="1" customWidth="1"/>
    <col min="3337" max="3337" width="10.4140625" style="157" bestFit="1" customWidth="1"/>
    <col min="3338" max="3338" width="11.4140625" style="157" bestFit="1" customWidth="1"/>
    <col min="3339" max="3339" width="12.4140625" style="157" bestFit="1" customWidth="1"/>
    <col min="3340" max="3340" width="9.08203125" style="157" bestFit="1" customWidth="1"/>
    <col min="3341" max="3341" width="12.4140625" style="157" bestFit="1" customWidth="1"/>
    <col min="3342" max="3342" width="16.4140625" style="157" bestFit="1" customWidth="1"/>
    <col min="3343" max="3343" width="13.75" style="157" bestFit="1" customWidth="1"/>
    <col min="3344" max="3344" width="8.58203125" style="157" bestFit="1" customWidth="1"/>
    <col min="3345" max="3345" width="6.58203125" style="157" bestFit="1" customWidth="1"/>
    <col min="3346" max="3346" width="9.08203125" style="157" customWidth="1"/>
    <col min="3347" max="3347" width="6.08203125" style="157" bestFit="1" customWidth="1"/>
    <col min="3348" max="3348" width="9.33203125" style="157" bestFit="1" customWidth="1"/>
    <col min="3349" max="3349" width="10.4140625" style="157" bestFit="1" customWidth="1"/>
    <col min="3350" max="3582" width="8.6640625" style="157"/>
    <col min="3583" max="3583" width="6.08203125" style="157" bestFit="1" customWidth="1"/>
    <col min="3584" max="3584" width="14.33203125" style="157" bestFit="1" customWidth="1"/>
    <col min="3585" max="3585" width="21.75" style="157" bestFit="1" customWidth="1"/>
    <col min="3586" max="3586" width="0" style="157" hidden="1" customWidth="1"/>
    <col min="3587" max="3587" width="16.4140625" style="157" bestFit="1" customWidth="1"/>
    <col min="3588" max="3588" width="14" style="157" bestFit="1" customWidth="1"/>
    <col min="3589" max="3589" width="15.4140625" style="157" bestFit="1" customWidth="1"/>
    <col min="3590" max="3590" width="9.75" style="157" bestFit="1" customWidth="1"/>
    <col min="3591" max="3591" width="8.75" style="157" bestFit="1" customWidth="1"/>
    <col min="3592" max="3592" width="11.4140625" style="157" bestFit="1" customWidth="1"/>
    <col min="3593" max="3593" width="10.4140625" style="157" bestFit="1" customWidth="1"/>
    <col min="3594" max="3594" width="11.4140625" style="157" bestFit="1" customWidth="1"/>
    <col min="3595" max="3595" width="12.4140625" style="157" bestFit="1" customWidth="1"/>
    <col min="3596" max="3596" width="9.08203125" style="157" bestFit="1" customWidth="1"/>
    <col min="3597" max="3597" width="12.4140625" style="157" bestFit="1" customWidth="1"/>
    <col min="3598" max="3598" width="16.4140625" style="157" bestFit="1" customWidth="1"/>
    <col min="3599" max="3599" width="13.75" style="157" bestFit="1" customWidth="1"/>
    <col min="3600" max="3600" width="8.58203125" style="157" bestFit="1" customWidth="1"/>
    <col min="3601" max="3601" width="6.58203125" style="157" bestFit="1" customWidth="1"/>
    <col min="3602" max="3602" width="9.08203125" style="157" customWidth="1"/>
    <col min="3603" max="3603" width="6.08203125" style="157" bestFit="1" customWidth="1"/>
    <col min="3604" max="3604" width="9.33203125" style="157" bestFit="1" customWidth="1"/>
    <col min="3605" max="3605" width="10.4140625" style="157" bestFit="1" customWidth="1"/>
    <col min="3606" max="3838" width="8.6640625" style="157"/>
    <col min="3839" max="3839" width="6.08203125" style="157" bestFit="1" customWidth="1"/>
    <col min="3840" max="3840" width="14.33203125" style="157" bestFit="1" customWidth="1"/>
    <col min="3841" max="3841" width="21.75" style="157" bestFit="1" customWidth="1"/>
    <col min="3842" max="3842" width="0" style="157" hidden="1" customWidth="1"/>
    <col min="3843" max="3843" width="16.4140625" style="157" bestFit="1" customWidth="1"/>
    <col min="3844" max="3844" width="14" style="157" bestFit="1" customWidth="1"/>
    <col min="3845" max="3845" width="15.4140625" style="157" bestFit="1" customWidth="1"/>
    <col min="3846" max="3846" width="9.75" style="157" bestFit="1" customWidth="1"/>
    <col min="3847" max="3847" width="8.75" style="157" bestFit="1" customWidth="1"/>
    <col min="3848" max="3848" width="11.4140625" style="157" bestFit="1" customWidth="1"/>
    <col min="3849" max="3849" width="10.4140625" style="157" bestFit="1" customWidth="1"/>
    <col min="3850" max="3850" width="11.4140625" style="157" bestFit="1" customWidth="1"/>
    <col min="3851" max="3851" width="12.4140625" style="157" bestFit="1" customWidth="1"/>
    <col min="3852" max="3852" width="9.08203125" style="157" bestFit="1" customWidth="1"/>
    <col min="3853" max="3853" width="12.4140625" style="157" bestFit="1" customWidth="1"/>
    <col min="3854" max="3854" width="16.4140625" style="157" bestFit="1" customWidth="1"/>
    <col min="3855" max="3855" width="13.75" style="157" bestFit="1" customWidth="1"/>
    <col min="3856" max="3856" width="8.58203125" style="157" bestFit="1" customWidth="1"/>
    <col min="3857" max="3857" width="6.58203125" style="157" bestFit="1" customWidth="1"/>
    <col min="3858" max="3858" width="9.08203125" style="157" customWidth="1"/>
    <col min="3859" max="3859" width="6.08203125" style="157" bestFit="1" customWidth="1"/>
    <col min="3860" max="3860" width="9.33203125" style="157" bestFit="1" customWidth="1"/>
    <col min="3861" max="3861" width="10.4140625" style="157" bestFit="1" customWidth="1"/>
    <col min="3862" max="4094" width="8.6640625" style="157"/>
    <col min="4095" max="4095" width="6.08203125" style="157" bestFit="1" customWidth="1"/>
    <col min="4096" max="4096" width="14.33203125" style="157" bestFit="1" customWidth="1"/>
    <col min="4097" max="4097" width="21.75" style="157" bestFit="1" customWidth="1"/>
    <col min="4098" max="4098" width="0" style="157" hidden="1" customWidth="1"/>
    <col min="4099" max="4099" width="16.4140625" style="157" bestFit="1" customWidth="1"/>
    <col min="4100" max="4100" width="14" style="157" bestFit="1" customWidth="1"/>
    <col min="4101" max="4101" width="15.4140625" style="157" bestFit="1" customWidth="1"/>
    <col min="4102" max="4102" width="9.75" style="157" bestFit="1" customWidth="1"/>
    <col min="4103" max="4103" width="8.75" style="157" bestFit="1" customWidth="1"/>
    <col min="4104" max="4104" width="11.4140625" style="157" bestFit="1" customWidth="1"/>
    <col min="4105" max="4105" width="10.4140625" style="157" bestFit="1" customWidth="1"/>
    <col min="4106" max="4106" width="11.4140625" style="157" bestFit="1" customWidth="1"/>
    <col min="4107" max="4107" width="12.4140625" style="157" bestFit="1" customWidth="1"/>
    <col min="4108" max="4108" width="9.08203125" style="157" bestFit="1" customWidth="1"/>
    <col min="4109" max="4109" width="12.4140625" style="157" bestFit="1" customWidth="1"/>
    <col min="4110" max="4110" width="16.4140625" style="157" bestFit="1" customWidth="1"/>
    <col min="4111" max="4111" width="13.75" style="157" bestFit="1" customWidth="1"/>
    <col min="4112" max="4112" width="8.58203125" style="157" bestFit="1" customWidth="1"/>
    <col min="4113" max="4113" width="6.58203125" style="157" bestFit="1" customWidth="1"/>
    <col min="4114" max="4114" width="9.08203125" style="157" customWidth="1"/>
    <col min="4115" max="4115" width="6.08203125" style="157" bestFit="1" customWidth="1"/>
    <col min="4116" max="4116" width="9.33203125" style="157" bestFit="1" customWidth="1"/>
    <col min="4117" max="4117" width="10.4140625" style="157" bestFit="1" customWidth="1"/>
    <col min="4118" max="4350" width="8.6640625" style="157"/>
    <col min="4351" max="4351" width="6.08203125" style="157" bestFit="1" customWidth="1"/>
    <col min="4352" max="4352" width="14.33203125" style="157" bestFit="1" customWidth="1"/>
    <col min="4353" max="4353" width="21.75" style="157" bestFit="1" customWidth="1"/>
    <col min="4354" max="4354" width="0" style="157" hidden="1" customWidth="1"/>
    <col min="4355" max="4355" width="16.4140625" style="157" bestFit="1" customWidth="1"/>
    <col min="4356" max="4356" width="14" style="157" bestFit="1" customWidth="1"/>
    <col min="4357" max="4357" width="15.4140625" style="157" bestFit="1" customWidth="1"/>
    <col min="4358" max="4358" width="9.75" style="157" bestFit="1" customWidth="1"/>
    <col min="4359" max="4359" width="8.75" style="157" bestFit="1" customWidth="1"/>
    <col min="4360" max="4360" width="11.4140625" style="157" bestFit="1" customWidth="1"/>
    <col min="4361" max="4361" width="10.4140625" style="157" bestFit="1" customWidth="1"/>
    <col min="4362" max="4362" width="11.4140625" style="157" bestFit="1" customWidth="1"/>
    <col min="4363" max="4363" width="12.4140625" style="157" bestFit="1" customWidth="1"/>
    <col min="4364" max="4364" width="9.08203125" style="157" bestFit="1" customWidth="1"/>
    <col min="4365" max="4365" width="12.4140625" style="157" bestFit="1" customWidth="1"/>
    <col min="4366" max="4366" width="16.4140625" style="157" bestFit="1" customWidth="1"/>
    <col min="4367" max="4367" width="13.75" style="157" bestFit="1" customWidth="1"/>
    <col min="4368" max="4368" width="8.58203125" style="157" bestFit="1" customWidth="1"/>
    <col min="4369" max="4369" width="6.58203125" style="157" bestFit="1" customWidth="1"/>
    <col min="4370" max="4370" width="9.08203125" style="157" customWidth="1"/>
    <col min="4371" max="4371" width="6.08203125" style="157" bestFit="1" customWidth="1"/>
    <col min="4372" max="4372" width="9.33203125" style="157" bestFit="1" customWidth="1"/>
    <col min="4373" max="4373" width="10.4140625" style="157" bestFit="1" customWidth="1"/>
    <col min="4374" max="4606" width="8.6640625" style="157"/>
    <col min="4607" max="4607" width="6.08203125" style="157" bestFit="1" customWidth="1"/>
    <col min="4608" max="4608" width="14.33203125" style="157" bestFit="1" customWidth="1"/>
    <col min="4609" max="4609" width="21.75" style="157" bestFit="1" customWidth="1"/>
    <col min="4610" max="4610" width="0" style="157" hidden="1" customWidth="1"/>
    <col min="4611" max="4611" width="16.4140625" style="157" bestFit="1" customWidth="1"/>
    <col min="4612" max="4612" width="14" style="157" bestFit="1" customWidth="1"/>
    <col min="4613" max="4613" width="15.4140625" style="157" bestFit="1" customWidth="1"/>
    <col min="4614" max="4614" width="9.75" style="157" bestFit="1" customWidth="1"/>
    <col min="4615" max="4615" width="8.75" style="157" bestFit="1" customWidth="1"/>
    <col min="4616" max="4616" width="11.4140625" style="157" bestFit="1" customWidth="1"/>
    <col min="4617" max="4617" width="10.4140625" style="157" bestFit="1" customWidth="1"/>
    <col min="4618" max="4618" width="11.4140625" style="157" bestFit="1" customWidth="1"/>
    <col min="4619" max="4619" width="12.4140625" style="157" bestFit="1" customWidth="1"/>
    <col min="4620" max="4620" width="9.08203125" style="157" bestFit="1" customWidth="1"/>
    <col min="4621" max="4621" width="12.4140625" style="157" bestFit="1" customWidth="1"/>
    <col min="4622" max="4622" width="16.4140625" style="157" bestFit="1" customWidth="1"/>
    <col min="4623" max="4623" width="13.75" style="157" bestFit="1" customWidth="1"/>
    <col min="4624" max="4624" width="8.58203125" style="157" bestFit="1" customWidth="1"/>
    <col min="4625" max="4625" width="6.58203125" style="157" bestFit="1" customWidth="1"/>
    <col min="4626" max="4626" width="9.08203125" style="157" customWidth="1"/>
    <col min="4627" max="4627" width="6.08203125" style="157" bestFit="1" customWidth="1"/>
    <col min="4628" max="4628" width="9.33203125" style="157" bestFit="1" customWidth="1"/>
    <col min="4629" max="4629" width="10.4140625" style="157" bestFit="1" customWidth="1"/>
    <col min="4630" max="4862" width="8.6640625" style="157"/>
    <col min="4863" max="4863" width="6.08203125" style="157" bestFit="1" customWidth="1"/>
    <col min="4864" max="4864" width="14.33203125" style="157" bestFit="1" customWidth="1"/>
    <col min="4865" max="4865" width="21.75" style="157" bestFit="1" customWidth="1"/>
    <col min="4866" max="4866" width="0" style="157" hidden="1" customWidth="1"/>
    <col min="4867" max="4867" width="16.4140625" style="157" bestFit="1" customWidth="1"/>
    <col min="4868" max="4868" width="14" style="157" bestFit="1" customWidth="1"/>
    <col min="4869" max="4869" width="15.4140625" style="157" bestFit="1" customWidth="1"/>
    <col min="4870" max="4870" width="9.75" style="157" bestFit="1" customWidth="1"/>
    <col min="4871" max="4871" width="8.75" style="157" bestFit="1" customWidth="1"/>
    <col min="4872" max="4872" width="11.4140625" style="157" bestFit="1" customWidth="1"/>
    <col min="4873" max="4873" width="10.4140625" style="157" bestFit="1" customWidth="1"/>
    <col min="4874" max="4874" width="11.4140625" style="157" bestFit="1" customWidth="1"/>
    <col min="4875" max="4875" width="12.4140625" style="157" bestFit="1" customWidth="1"/>
    <col min="4876" max="4876" width="9.08203125" style="157" bestFit="1" customWidth="1"/>
    <col min="4877" max="4877" width="12.4140625" style="157" bestFit="1" customWidth="1"/>
    <col min="4878" max="4878" width="16.4140625" style="157" bestFit="1" customWidth="1"/>
    <col min="4879" max="4879" width="13.75" style="157" bestFit="1" customWidth="1"/>
    <col min="4880" max="4880" width="8.58203125" style="157" bestFit="1" customWidth="1"/>
    <col min="4881" max="4881" width="6.58203125" style="157" bestFit="1" customWidth="1"/>
    <col min="4882" max="4882" width="9.08203125" style="157" customWidth="1"/>
    <col min="4883" max="4883" width="6.08203125" style="157" bestFit="1" customWidth="1"/>
    <col min="4884" max="4884" width="9.33203125" style="157" bestFit="1" customWidth="1"/>
    <col min="4885" max="4885" width="10.4140625" style="157" bestFit="1" customWidth="1"/>
    <col min="4886" max="5118" width="8.6640625" style="157"/>
    <col min="5119" max="5119" width="6.08203125" style="157" bestFit="1" customWidth="1"/>
    <col min="5120" max="5120" width="14.33203125" style="157" bestFit="1" customWidth="1"/>
    <col min="5121" max="5121" width="21.75" style="157" bestFit="1" customWidth="1"/>
    <col min="5122" max="5122" width="0" style="157" hidden="1" customWidth="1"/>
    <col min="5123" max="5123" width="16.4140625" style="157" bestFit="1" customWidth="1"/>
    <col min="5124" max="5124" width="14" style="157" bestFit="1" customWidth="1"/>
    <col min="5125" max="5125" width="15.4140625" style="157" bestFit="1" customWidth="1"/>
    <col min="5126" max="5126" width="9.75" style="157" bestFit="1" customWidth="1"/>
    <col min="5127" max="5127" width="8.75" style="157" bestFit="1" customWidth="1"/>
    <col min="5128" max="5128" width="11.4140625" style="157" bestFit="1" customWidth="1"/>
    <col min="5129" max="5129" width="10.4140625" style="157" bestFit="1" customWidth="1"/>
    <col min="5130" max="5130" width="11.4140625" style="157" bestFit="1" customWidth="1"/>
    <col min="5131" max="5131" width="12.4140625" style="157" bestFit="1" customWidth="1"/>
    <col min="5132" max="5132" width="9.08203125" style="157" bestFit="1" customWidth="1"/>
    <col min="5133" max="5133" width="12.4140625" style="157" bestFit="1" customWidth="1"/>
    <col min="5134" max="5134" width="16.4140625" style="157" bestFit="1" customWidth="1"/>
    <col min="5135" max="5135" width="13.75" style="157" bestFit="1" customWidth="1"/>
    <col min="5136" max="5136" width="8.58203125" style="157" bestFit="1" customWidth="1"/>
    <col min="5137" max="5137" width="6.58203125" style="157" bestFit="1" customWidth="1"/>
    <col min="5138" max="5138" width="9.08203125" style="157" customWidth="1"/>
    <col min="5139" max="5139" width="6.08203125" style="157" bestFit="1" customWidth="1"/>
    <col min="5140" max="5140" width="9.33203125" style="157" bestFit="1" customWidth="1"/>
    <col min="5141" max="5141" width="10.4140625" style="157" bestFit="1" customWidth="1"/>
    <col min="5142" max="5374" width="8.6640625" style="157"/>
    <col min="5375" max="5375" width="6.08203125" style="157" bestFit="1" customWidth="1"/>
    <col min="5376" max="5376" width="14.33203125" style="157" bestFit="1" customWidth="1"/>
    <col min="5377" max="5377" width="21.75" style="157" bestFit="1" customWidth="1"/>
    <col min="5378" max="5378" width="0" style="157" hidden="1" customWidth="1"/>
    <col min="5379" max="5379" width="16.4140625" style="157" bestFit="1" customWidth="1"/>
    <col min="5380" max="5380" width="14" style="157" bestFit="1" customWidth="1"/>
    <col min="5381" max="5381" width="15.4140625" style="157" bestFit="1" customWidth="1"/>
    <col min="5382" max="5382" width="9.75" style="157" bestFit="1" customWidth="1"/>
    <col min="5383" max="5383" width="8.75" style="157" bestFit="1" customWidth="1"/>
    <col min="5384" max="5384" width="11.4140625" style="157" bestFit="1" customWidth="1"/>
    <col min="5385" max="5385" width="10.4140625" style="157" bestFit="1" customWidth="1"/>
    <col min="5386" max="5386" width="11.4140625" style="157" bestFit="1" customWidth="1"/>
    <col min="5387" max="5387" width="12.4140625" style="157" bestFit="1" customWidth="1"/>
    <col min="5388" max="5388" width="9.08203125" style="157" bestFit="1" customWidth="1"/>
    <col min="5389" max="5389" width="12.4140625" style="157" bestFit="1" customWidth="1"/>
    <col min="5390" max="5390" width="16.4140625" style="157" bestFit="1" customWidth="1"/>
    <col min="5391" max="5391" width="13.75" style="157" bestFit="1" customWidth="1"/>
    <col min="5392" max="5392" width="8.58203125" style="157" bestFit="1" customWidth="1"/>
    <col min="5393" max="5393" width="6.58203125" style="157" bestFit="1" customWidth="1"/>
    <col min="5394" max="5394" width="9.08203125" style="157" customWidth="1"/>
    <col min="5395" max="5395" width="6.08203125" style="157" bestFit="1" customWidth="1"/>
    <col min="5396" max="5396" width="9.33203125" style="157" bestFit="1" customWidth="1"/>
    <col min="5397" max="5397" width="10.4140625" style="157" bestFit="1" customWidth="1"/>
    <col min="5398" max="5630" width="8.6640625" style="157"/>
    <col min="5631" max="5631" width="6.08203125" style="157" bestFit="1" customWidth="1"/>
    <col min="5632" max="5632" width="14.33203125" style="157" bestFit="1" customWidth="1"/>
    <col min="5633" max="5633" width="21.75" style="157" bestFit="1" customWidth="1"/>
    <col min="5634" max="5634" width="0" style="157" hidden="1" customWidth="1"/>
    <col min="5635" max="5635" width="16.4140625" style="157" bestFit="1" customWidth="1"/>
    <col min="5636" max="5636" width="14" style="157" bestFit="1" customWidth="1"/>
    <col min="5637" max="5637" width="15.4140625" style="157" bestFit="1" customWidth="1"/>
    <col min="5638" max="5638" width="9.75" style="157" bestFit="1" customWidth="1"/>
    <col min="5639" max="5639" width="8.75" style="157" bestFit="1" customWidth="1"/>
    <col min="5640" max="5640" width="11.4140625" style="157" bestFit="1" customWidth="1"/>
    <col min="5641" max="5641" width="10.4140625" style="157" bestFit="1" customWidth="1"/>
    <col min="5642" max="5642" width="11.4140625" style="157" bestFit="1" customWidth="1"/>
    <col min="5643" max="5643" width="12.4140625" style="157" bestFit="1" customWidth="1"/>
    <col min="5644" max="5644" width="9.08203125" style="157" bestFit="1" customWidth="1"/>
    <col min="5645" max="5645" width="12.4140625" style="157" bestFit="1" customWidth="1"/>
    <col min="5646" max="5646" width="16.4140625" style="157" bestFit="1" customWidth="1"/>
    <col min="5647" max="5647" width="13.75" style="157" bestFit="1" customWidth="1"/>
    <col min="5648" max="5648" width="8.58203125" style="157" bestFit="1" customWidth="1"/>
    <col min="5649" max="5649" width="6.58203125" style="157" bestFit="1" customWidth="1"/>
    <col min="5650" max="5650" width="9.08203125" style="157" customWidth="1"/>
    <col min="5651" max="5651" width="6.08203125" style="157" bestFit="1" customWidth="1"/>
    <col min="5652" max="5652" width="9.33203125" style="157" bestFit="1" customWidth="1"/>
    <col min="5653" max="5653" width="10.4140625" style="157" bestFit="1" customWidth="1"/>
    <col min="5654" max="5886" width="8.6640625" style="157"/>
    <col min="5887" max="5887" width="6.08203125" style="157" bestFit="1" customWidth="1"/>
    <col min="5888" max="5888" width="14.33203125" style="157" bestFit="1" customWidth="1"/>
    <col min="5889" max="5889" width="21.75" style="157" bestFit="1" customWidth="1"/>
    <col min="5890" max="5890" width="0" style="157" hidden="1" customWidth="1"/>
    <col min="5891" max="5891" width="16.4140625" style="157" bestFit="1" customWidth="1"/>
    <col min="5892" max="5892" width="14" style="157" bestFit="1" customWidth="1"/>
    <col min="5893" max="5893" width="15.4140625" style="157" bestFit="1" customWidth="1"/>
    <col min="5894" max="5894" width="9.75" style="157" bestFit="1" customWidth="1"/>
    <col min="5895" max="5895" width="8.75" style="157" bestFit="1" customWidth="1"/>
    <col min="5896" max="5896" width="11.4140625" style="157" bestFit="1" customWidth="1"/>
    <col min="5897" max="5897" width="10.4140625" style="157" bestFit="1" customWidth="1"/>
    <col min="5898" max="5898" width="11.4140625" style="157" bestFit="1" customWidth="1"/>
    <col min="5899" max="5899" width="12.4140625" style="157" bestFit="1" customWidth="1"/>
    <col min="5900" max="5900" width="9.08203125" style="157" bestFit="1" customWidth="1"/>
    <col min="5901" max="5901" width="12.4140625" style="157" bestFit="1" customWidth="1"/>
    <col min="5902" max="5902" width="16.4140625" style="157" bestFit="1" customWidth="1"/>
    <col min="5903" max="5903" width="13.75" style="157" bestFit="1" customWidth="1"/>
    <col min="5904" max="5904" width="8.58203125" style="157" bestFit="1" customWidth="1"/>
    <col min="5905" max="5905" width="6.58203125" style="157" bestFit="1" customWidth="1"/>
    <col min="5906" max="5906" width="9.08203125" style="157" customWidth="1"/>
    <col min="5907" max="5907" width="6.08203125" style="157" bestFit="1" customWidth="1"/>
    <col min="5908" max="5908" width="9.33203125" style="157" bestFit="1" customWidth="1"/>
    <col min="5909" max="5909" width="10.4140625" style="157" bestFit="1" customWidth="1"/>
    <col min="5910" max="6142" width="8.6640625" style="157"/>
    <col min="6143" max="6143" width="6.08203125" style="157" bestFit="1" customWidth="1"/>
    <col min="6144" max="6144" width="14.33203125" style="157" bestFit="1" customWidth="1"/>
    <col min="6145" max="6145" width="21.75" style="157" bestFit="1" customWidth="1"/>
    <col min="6146" max="6146" width="0" style="157" hidden="1" customWidth="1"/>
    <col min="6147" max="6147" width="16.4140625" style="157" bestFit="1" customWidth="1"/>
    <col min="6148" max="6148" width="14" style="157" bestFit="1" customWidth="1"/>
    <col min="6149" max="6149" width="15.4140625" style="157" bestFit="1" customWidth="1"/>
    <col min="6150" max="6150" width="9.75" style="157" bestFit="1" customWidth="1"/>
    <col min="6151" max="6151" width="8.75" style="157" bestFit="1" customWidth="1"/>
    <col min="6152" max="6152" width="11.4140625" style="157" bestFit="1" customWidth="1"/>
    <col min="6153" max="6153" width="10.4140625" style="157" bestFit="1" customWidth="1"/>
    <col min="6154" max="6154" width="11.4140625" style="157" bestFit="1" customWidth="1"/>
    <col min="6155" max="6155" width="12.4140625" style="157" bestFit="1" customWidth="1"/>
    <col min="6156" max="6156" width="9.08203125" style="157" bestFit="1" customWidth="1"/>
    <col min="6157" max="6157" width="12.4140625" style="157" bestFit="1" customWidth="1"/>
    <col min="6158" max="6158" width="16.4140625" style="157" bestFit="1" customWidth="1"/>
    <col min="6159" max="6159" width="13.75" style="157" bestFit="1" customWidth="1"/>
    <col min="6160" max="6160" width="8.58203125" style="157" bestFit="1" customWidth="1"/>
    <col min="6161" max="6161" width="6.58203125" style="157" bestFit="1" customWidth="1"/>
    <col min="6162" max="6162" width="9.08203125" style="157" customWidth="1"/>
    <col min="6163" max="6163" width="6.08203125" style="157" bestFit="1" customWidth="1"/>
    <col min="6164" max="6164" width="9.33203125" style="157" bestFit="1" customWidth="1"/>
    <col min="6165" max="6165" width="10.4140625" style="157" bestFit="1" customWidth="1"/>
    <col min="6166" max="6398" width="8.6640625" style="157"/>
    <col min="6399" max="6399" width="6.08203125" style="157" bestFit="1" customWidth="1"/>
    <col min="6400" max="6400" width="14.33203125" style="157" bestFit="1" customWidth="1"/>
    <col min="6401" max="6401" width="21.75" style="157" bestFit="1" customWidth="1"/>
    <col min="6402" max="6402" width="0" style="157" hidden="1" customWidth="1"/>
    <col min="6403" max="6403" width="16.4140625" style="157" bestFit="1" customWidth="1"/>
    <col min="6404" max="6404" width="14" style="157" bestFit="1" customWidth="1"/>
    <col min="6405" max="6405" width="15.4140625" style="157" bestFit="1" customWidth="1"/>
    <col min="6406" max="6406" width="9.75" style="157" bestFit="1" customWidth="1"/>
    <col min="6407" max="6407" width="8.75" style="157" bestFit="1" customWidth="1"/>
    <col min="6408" max="6408" width="11.4140625" style="157" bestFit="1" customWidth="1"/>
    <col min="6409" max="6409" width="10.4140625" style="157" bestFit="1" customWidth="1"/>
    <col min="6410" max="6410" width="11.4140625" style="157" bestFit="1" customWidth="1"/>
    <col min="6411" max="6411" width="12.4140625" style="157" bestFit="1" customWidth="1"/>
    <col min="6412" max="6412" width="9.08203125" style="157" bestFit="1" customWidth="1"/>
    <col min="6413" max="6413" width="12.4140625" style="157" bestFit="1" customWidth="1"/>
    <col min="6414" max="6414" width="16.4140625" style="157" bestFit="1" customWidth="1"/>
    <col min="6415" max="6415" width="13.75" style="157" bestFit="1" customWidth="1"/>
    <col min="6416" max="6416" width="8.58203125" style="157" bestFit="1" customWidth="1"/>
    <col min="6417" max="6417" width="6.58203125" style="157" bestFit="1" customWidth="1"/>
    <col min="6418" max="6418" width="9.08203125" style="157" customWidth="1"/>
    <col min="6419" max="6419" width="6.08203125" style="157" bestFit="1" customWidth="1"/>
    <col min="6420" max="6420" width="9.33203125" style="157" bestFit="1" customWidth="1"/>
    <col min="6421" max="6421" width="10.4140625" style="157" bestFit="1" customWidth="1"/>
    <col min="6422" max="6654" width="8.6640625" style="157"/>
    <col min="6655" max="6655" width="6.08203125" style="157" bestFit="1" customWidth="1"/>
    <col min="6656" max="6656" width="14.33203125" style="157" bestFit="1" customWidth="1"/>
    <col min="6657" max="6657" width="21.75" style="157" bestFit="1" customWidth="1"/>
    <col min="6658" max="6658" width="0" style="157" hidden="1" customWidth="1"/>
    <col min="6659" max="6659" width="16.4140625" style="157" bestFit="1" customWidth="1"/>
    <col min="6660" max="6660" width="14" style="157" bestFit="1" customWidth="1"/>
    <col min="6661" max="6661" width="15.4140625" style="157" bestFit="1" customWidth="1"/>
    <col min="6662" max="6662" width="9.75" style="157" bestFit="1" customWidth="1"/>
    <col min="6663" max="6663" width="8.75" style="157" bestFit="1" customWidth="1"/>
    <col min="6664" max="6664" width="11.4140625" style="157" bestFit="1" customWidth="1"/>
    <col min="6665" max="6665" width="10.4140625" style="157" bestFit="1" customWidth="1"/>
    <col min="6666" max="6666" width="11.4140625" style="157" bestFit="1" customWidth="1"/>
    <col min="6667" max="6667" width="12.4140625" style="157" bestFit="1" customWidth="1"/>
    <col min="6668" max="6668" width="9.08203125" style="157" bestFit="1" customWidth="1"/>
    <col min="6669" max="6669" width="12.4140625" style="157" bestFit="1" customWidth="1"/>
    <col min="6670" max="6670" width="16.4140625" style="157" bestFit="1" customWidth="1"/>
    <col min="6671" max="6671" width="13.75" style="157" bestFit="1" customWidth="1"/>
    <col min="6672" max="6672" width="8.58203125" style="157" bestFit="1" customWidth="1"/>
    <col min="6673" max="6673" width="6.58203125" style="157" bestFit="1" customWidth="1"/>
    <col min="6674" max="6674" width="9.08203125" style="157" customWidth="1"/>
    <col min="6675" max="6675" width="6.08203125" style="157" bestFit="1" customWidth="1"/>
    <col min="6676" max="6676" width="9.33203125" style="157" bestFit="1" customWidth="1"/>
    <col min="6677" max="6677" width="10.4140625" style="157" bestFit="1" customWidth="1"/>
    <col min="6678" max="6910" width="8.6640625" style="157"/>
    <col min="6911" max="6911" width="6.08203125" style="157" bestFit="1" customWidth="1"/>
    <col min="6912" max="6912" width="14.33203125" style="157" bestFit="1" customWidth="1"/>
    <col min="6913" max="6913" width="21.75" style="157" bestFit="1" customWidth="1"/>
    <col min="6914" max="6914" width="0" style="157" hidden="1" customWidth="1"/>
    <col min="6915" max="6915" width="16.4140625" style="157" bestFit="1" customWidth="1"/>
    <col min="6916" max="6916" width="14" style="157" bestFit="1" customWidth="1"/>
    <col min="6917" max="6917" width="15.4140625" style="157" bestFit="1" customWidth="1"/>
    <col min="6918" max="6918" width="9.75" style="157" bestFit="1" customWidth="1"/>
    <col min="6919" max="6919" width="8.75" style="157" bestFit="1" customWidth="1"/>
    <col min="6920" max="6920" width="11.4140625" style="157" bestFit="1" customWidth="1"/>
    <col min="6921" max="6921" width="10.4140625" style="157" bestFit="1" customWidth="1"/>
    <col min="6922" max="6922" width="11.4140625" style="157" bestFit="1" customWidth="1"/>
    <col min="6923" max="6923" width="12.4140625" style="157" bestFit="1" customWidth="1"/>
    <col min="6924" max="6924" width="9.08203125" style="157" bestFit="1" customWidth="1"/>
    <col min="6925" max="6925" width="12.4140625" style="157" bestFit="1" customWidth="1"/>
    <col min="6926" max="6926" width="16.4140625" style="157" bestFit="1" customWidth="1"/>
    <col min="6927" max="6927" width="13.75" style="157" bestFit="1" customWidth="1"/>
    <col min="6928" max="6928" width="8.58203125" style="157" bestFit="1" customWidth="1"/>
    <col min="6929" max="6929" width="6.58203125" style="157" bestFit="1" customWidth="1"/>
    <col min="6930" max="6930" width="9.08203125" style="157" customWidth="1"/>
    <col min="6931" max="6931" width="6.08203125" style="157" bestFit="1" customWidth="1"/>
    <col min="6932" max="6932" width="9.33203125" style="157" bestFit="1" customWidth="1"/>
    <col min="6933" max="6933" width="10.4140625" style="157" bestFit="1" customWidth="1"/>
    <col min="6934" max="7166" width="8.6640625" style="157"/>
    <col min="7167" max="7167" width="6.08203125" style="157" bestFit="1" customWidth="1"/>
    <col min="7168" max="7168" width="14.33203125" style="157" bestFit="1" customWidth="1"/>
    <col min="7169" max="7169" width="21.75" style="157" bestFit="1" customWidth="1"/>
    <col min="7170" max="7170" width="0" style="157" hidden="1" customWidth="1"/>
    <col min="7171" max="7171" width="16.4140625" style="157" bestFit="1" customWidth="1"/>
    <col min="7172" max="7172" width="14" style="157" bestFit="1" customWidth="1"/>
    <col min="7173" max="7173" width="15.4140625" style="157" bestFit="1" customWidth="1"/>
    <col min="7174" max="7174" width="9.75" style="157" bestFit="1" customWidth="1"/>
    <col min="7175" max="7175" width="8.75" style="157" bestFit="1" customWidth="1"/>
    <col min="7176" max="7176" width="11.4140625" style="157" bestFit="1" customWidth="1"/>
    <col min="7177" max="7177" width="10.4140625" style="157" bestFit="1" customWidth="1"/>
    <col min="7178" max="7178" width="11.4140625" style="157" bestFit="1" customWidth="1"/>
    <col min="7179" max="7179" width="12.4140625" style="157" bestFit="1" customWidth="1"/>
    <col min="7180" max="7180" width="9.08203125" style="157" bestFit="1" customWidth="1"/>
    <col min="7181" max="7181" width="12.4140625" style="157" bestFit="1" customWidth="1"/>
    <col min="7182" max="7182" width="16.4140625" style="157" bestFit="1" customWidth="1"/>
    <col min="7183" max="7183" width="13.75" style="157" bestFit="1" customWidth="1"/>
    <col min="7184" max="7184" width="8.58203125" style="157" bestFit="1" customWidth="1"/>
    <col min="7185" max="7185" width="6.58203125" style="157" bestFit="1" customWidth="1"/>
    <col min="7186" max="7186" width="9.08203125" style="157" customWidth="1"/>
    <col min="7187" max="7187" width="6.08203125" style="157" bestFit="1" customWidth="1"/>
    <col min="7188" max="7188" width="9.33203125" style="157" bestFit="1" customWidth="1"/>
    <col min="7189" max="7189" width="10.4140625" style="157" bestFit="1" customWidth="1"/>
    <col min="7190" max="7422" width="8.6640625" style="157"/>
    <col min="7423" max="7423" width="6.08203125" style="157" bestFit="1" customWidth="1"/>
    <col min="7424" max="7424" width="14.33203125" style="157" bestFit="1" customWidth="1"/>
    <col min="7425" max="7425" width="21.75" style="157" bestFit="1" customWidth="1"/>
    <col min="7426" max="7426" width="0" style="157" hidden="1" customWidth="1"/>
    <col min="7427" max="7427" width="16.4140625" style="157" bestFit="1" customWidth="1"/>
    <col min="7428" max="7428" width="14" style="157" bestFit="1" customWidth="1"/>
    <col min="7429" max="7429" width="15.4140625" style="157" bestFit="1" customWidth="1"/>
    <col min="7430" max="7430" width="9.75" style="157" bestFit="1" customWidth="1"/>
    <col min="7431" max="7431" width="8.75" style="157" bestFit="1" customWidth="1"/>
    <col min="7432" max="7432" width="11.4140625" style="157" bestFit="1" customWidth="1"/>
    <col min="7433" max="7433" width="10.4140625" style="157" bestFit="1" customWidth="1"/>
    <col min="7434" max="7434" width="11.4140625" style="157" bestFit="1" customWidth="1"/>
    <col min="7435" max="7435" width="12.4140625" style="157" bestFit="1" customWidth="1"/>
    <col min="7436" max="7436" width="9.08203125" style="157" bestFit="1" customWidth="1"/>
    <col min="7437" max="7437" width="12.4140625" style="157" bestFit="1" customWidth="1"/>
    <col min="7438" max="7438" width="16.4140625" style="157" bestFit="1" customWidth="1"/>
    <col min="7439" max="7439" width="13.75" style="157" bestFit="1" customWidth="1"/>
    <col min="7440" max="7440" width="8.58203125" style="157" bestFit="1" customWidth="1"/>
    <col min="7441" max="7441" width="6.58203125" style="157" bestFit="1" customWidth="1"/>
    <col min="7442" max="7442" width="9.08203125" style="157" customWidth="1"/>
    <col min="7443" max="7443" width="6.08203125" style="157" bestFit="1" customWidth="1"/>
    <col min="7444" max="7444" width="9.33203125" style="157" bestFit="1" customWidth="1"/>
    <col min="7445" max="7445" width="10.4140625" style="157" bestFit="1" customWidth="1"/>
    <col min="7446" max="7678" width="8.6640625" style="157"/>
    <col min="7679" max="7679" width="6.08203125" style="157" bestFit="1" customWidth="1"/>
    <col min="7680" max="7680" width="14.33203125" style="157" bestFit="1" customWidth="1"/>
    <col min="7681" max="7681" width="21.75" style="157" bestFit="1" customWidth="1"/>
    <col min="7682" max="7682" width="0" style="157" hidden="1" customWidth="1"/>
    <col min="7683" max="7683" width="16.4140625" style="157" bestFit="1" customWidth="1"/>
    <col min="7684" max="7684" width="14" style="157" bestFit="1" customWidth="1"/>
    <col min="7685" max="7685" width="15.4140625" style="157" bestFit="1" customWidth="1"/>
    <col min="7686" max="7686" width="9.75" style="157" bestFit="1" customWidth="1"/>
    <col min="7687" max="7687" width="8.75" style="157" bestFit="1" customWidth="1"/>
    <col min="7688" max="7688" width="11.4140625" style="157" bestFit="1" customWidth="1"/>
    <col min="7689" max="7689" width="10.4140625" style="157" bestFit="1" customWidth="1"/>
    <col min="7690" max="7690" width="11.4140625" style="157" bestFit="1" customWidth="1"/>
    <col min="7691" max="7691" width="12.4140625" style="157" bestFit="1" customWidth="1"/>
    <col min="7692" max="7692" width="9.08203125" style="157" bestFit="1" customWidth="1"/>
    <col min="7693" max="7693" width="12.4140625" style="157" bestFit="1" customWidth="1"/>
    <col min="7694" max="7694" width="16.4140625" style="157" bestFit="1" customWidth="1"/>
    <col min="7695" max="7695" width="13.75" style="157" bestFit="1" customWidth="1"/>
    <col min="7696" max="7696" width="8.58203125" style="157" bestFit="1" customWidth="1"/>
    <col min="7697" max="7697" width="6.58203125" style="157" bestFit="1" customWidth="1"/>
    <col min="7698" max="7698" width="9.08203125" style="157" customWidth="1"/>
    <col min="7699" max="7699" width="6.08203125" style="157" bestFit="1" customWidth="1"/>
    <col min="7700" max="7700" width="9.33203125" style="157" bestFit="1" customWidth="1"/>
    <col min="7701" max="7701" width="10.4140625" style="157" bestFit="1" customWidth="1"/>
    <col min="7702" max="7934" width="8.6640625" style="157"/>
    <col min="7935" max="7935" width="6.08203125" style="157" bestFit="1" customWidth="1"/>
    <col min="7936" max="7936" width="14.33203125" style="157" bestFit="1" customWidth="1"/>
    <col min="7937" max="7937" width="21.75" style="157" bestFit="1" customWidth="1"/>
    <col min="7938" max="7938" width="0" style="157" hidden="1" customWidth="1"/>
    <col min="7939" max="7939" width="16.4140625" style="157" bestFit="1" customWidth="1"/>
    <col min="7940" max="7940" width="14" style="157" bestFit="1" customWidth="1"/>
    <col min="7941" max="7941" width="15.4140625" style="157" bestFit="1" customWidth="1"/>
    <col min="7942" max="7942" width="9.75" style="157" bestFit="1" customWidth="1"/>
    <col min="7943" max="7943" width="8.75" style="157" bestFit="1" customWidth="1"/>
    <col min="7944" max="7944" width="11.4140625" style="157" bestFit="1" customWidth="1"/>
    <col min="7945" max="7945" width="10.4140625" style="157" bestFit="1" customWidth="1"/>
    <col min="7946" max="7946" width="11.4140625" style="157" bestFit="1" customWidth="1"/>
    <col min="7947" max="7947" width="12.4140625" style="157" bestFit="1" customWidth="1"/>
    <col min="7948" max="7948" width="9.08203125" style="157" bestFit="1" customWidth="1"/>
    <col min="7949" max="7949" width="12.4140625" style="157" bestFit="1" customWidth="1"/>
    <col min="7950" max="7950" width="16.4140625" style="157" bestFit="1" customWidth="1"/>
    <col min="7951" max="7951" width="13.75" style="157" bestFit="1" customWidth="1"/>
    <col min="7952" max="7952" width="8.58203125" style="157" bestFit="1" customWidth="1"/>
    <col min="7953" max="7953" width="6.58203125" style="157" bestFit="1" customWidth="1"/>
    <col min="7954" max="7954" width="9.08203125" style="157" customWidth="1"/>
    <col min="7955" max="7955" width="6.08203125" style="157" bestFit="1" customWidth="1"/>
    <col min="7956" max="7956" width="9.33203125" style="157" bestFit="1" customWidth="1"/>
    <col min="7957" max="7957" width="10.4140625" style="157" bestFit="1" customWidth="1"/>
    <col min="7958" max="8190" width="8.6640625" style="157"/>
    <col min="8191" max="8191" width="6.08203125" style="157" bestFit="1" customWidth="1"/>
    <col min="8192" max="8192" width="14.33203125" style="157" bestFit="1" customWidth="1"/>
    <col min="8193" max="8193" width="21.75" style="157" bestFit="1" customWidth="1"/>
    <col min="8194" max="8194" width="0" style="157" hidden="1" customWidth="1"/>
    <col min="8195" max="8195" width="16.4140625" style="157" bestFit="1" customWidth="1"/>
    <col min="8196" max="8196" width="14" style="157" bestFit="1" customWidth="1"/>
    <col min="8197" max="8197" width="15.4140625" style="157" bestFit="1" customWidth="1"/>
    <col min="8198" max="8198" width="9.75" style="157" bestFit="1" customWidth="1"/>
    <col min="8199" max="8199" width="8.75" style="157" bestFit="1" customWidth="1"/>
    <col min="8200" max="8200" width="11.4140625" style="157" bestFit="1" customWidth="1"/>
    <col min="8201" max="8201" width="10.4140625" style="157" bestFit="1" customWidth="1"/>
    <col min="8202" max="8202" width="11.4140625" style="157" bestFit="1" customWidth="1"/>
    <col min="8203" max="8203" width="12.4140625" style="157" bestFit="1" customWidth="1"/>
    <col min="8204" max="8204" width="9.08203125" style="157" bestFit="1" customWidth="1"/>
    <col min="8205" max="8205" width="12.4140625" style="157" bestFit="1" customWidth="1"/>
    <col min="8206" max="8206" width="16.4140625" style="157" bestFit="1" customWidth="1"/>
    <col min="8207" max="8207" width="13.75" style="157" bestFit="1" customWidth="1"/>
    <col min="8208" max="8208" width="8.58203125" style="157" bestFit="1" customWidth="1"/>
    <col min="8209" max="8209" width="6.58203125" style="157" bestFit="1" customWidth="1"/>
    <col min="8210" max="8210" width="9.08203125" style="157" customWidth="1"/>
    <col min="8211" max="8211" width="6.08203125" style="157" bestFit="1" customWidth="1"/>
    <col min="8212" max="8212" width="9.33203125" style="157" bestFit="1" customWidth="1"/>
    <col min="8213" max="8213" width="10.4140625" style="157" bestFit="1" customWidth="1"/>
    <col min="8214" max="8446" width="8.6640625" style="157"/>
    <col min="8447" max="8447" width="6.08203125" style="157" bestFit="1" customWidth="1"/>
    <col min="8448" max="8448" width="14.33203125" style="157" bestFit="1" customWidth="1"/>
    <col min="8449" max="8449" width="21.75" style="157" bestFit="1" customWidth="1"/>
    <col min="8450" max="8450" width="0" style="157" hidden="1" customWidth="1"/>
    <col min="8451" max="8451" width="16.4140625" style="157" bestFit="1" customWidth="1"/>
    <col min="8452" max="8452" width="14" style="157" bestFit="1" customWidth="1"/>
    <col min="8453" max="8453" width="15.4140625" style="157" bestFit="1" customWidth="1"/>
    <col min="8454" max="8454" width="9.75" style="157" bestFit="1" customWidth="1"/>
    <col min="8455" max="8455" width="8.75" style="157" bestFit="1" customWidth="1"/>
    <col min="8456" max="8456" width="11.4140625" style="157" bestFit="1" customWidth="1"/>
    <col min="8457" max="8457" width="10.4140625" style="157" bestFit="1" customWidth="1"/>
    <col min="8458" max="8458" width="11.4140625" style="157" bestFit="1" customWidth="1"/>
    <col min="8459" max="8459" width="12.4140625" style="157" bestFit="1" customWidth="1"/>
    <col min="8460" max="8460" width="9.08203125" style="157" bestFit="1" customWidth="1"/>
    <col min="8461" max="8461" width="12.4140625" style="157" bestFit="1" customWidth="1"/>
    <col min="8462" max="8462" width="16.4140625" style="157" bestFit="1" customWidth="1"/>
    <col min="8463" max="8463" width="13.75" style="157" bestFit="1" customWidth="1"/>
    <col min="8464" max="8464" width="8.58203125" style="157" bestFit="1" customWidth="1"/>
    <col min="8465" max="8465" width="6.58203125" style="157" bestFit="1" customWidth="1"/>
    <col min="8466" max="8466" width="9.08203125" style="157" customWidth="1"/>
    <col min="8467" max="8467" width="6.08203125" style="157" bestFit="1" customWidth="1"/>
    <col min="8468" max="8468" width="9.33203125" style="157" bestFit="1" customWidth="1"/>
    <col min="8469" max="8469" width="10.4140625" style="157" bestFit="1" customWidth="1"/>
    <col min="8470" max="8702" width="8.6640625" style="157"/>
    <col min="8703" max="8703" width="6.08203125" style="157" bestFit="1" customWidth="1"/>
    <col min="8704" max="8704" width="14.33203125" style="157" bestFit="1" customWidth="1"/>
    <col min="8705" max="8705" width="21.75" style="157" bestFit="1" customWidth="1"/>
    <col min="8706" max="8706" width="0" style="157" hidden="1" customWidth="1"/>
    <col min="8707" max="8707" width="16.4140625" style="157" bestFit="1" customWidth="1"/>
    <col min="8708" max="8708" width="14" style="157" bestFit="1" customWidth="1"/>
    <col min="8709" max="8709" width="15.4140625" style="157" bestFit="1" customWidth="1"/>
    <col min="8710" max="8710" width="9.75" style="157" bestFit="1" customWidth="1"/>
    <col min="8711" max="8711" width="8.75" style="157" bestFit="1" customWidth="1"/>
    <col min="8712" max="8712" width="11.4140625" style="157" bestFit="1" customWidth="1"/>
    <col min="8713" max="8713" width="10.4140625" style="157" bestFit="1" customWidth="1"/>
    <col min="8714" max="8714" width="11.4140625" style="157" bestFit="1" customWidth="1"/>
    <col min="8715" max="8715" width="12.4140625" style="157" bestFit="1" customWidth="1"/>
    <col min="8716" max="8716" width="9.08203125" style="157" bestFit="1" customWidth="1"/>
    <col min="8717" max="8717" width="12.4140625" style="157" bestFit="1" customWidth="1"/>
    <col min="8718" max="8718" width="16.4140625" style="157" bestFit="1" customWidth="1"/>
    <col min="8719" max="8719" width="13.75" style="157" bestFit="1" customWidth="1"/>
    <col min="8720" max="8720" width="8.58203125" style="157" bestFit="1" customWidth="1"/>
    <col min="8721" max="8721" width="6.58203125" style="157" bestFit="1" customWidth="1"/>
    <col min="8722" max="8722" width="9.08203125" style="157" customWidth="1"/>
    <col min="8723" max="8723" width="6.08203125" style="157" bestFit="1" customWidth="1"/>
    <col min="8724" max="8724" width="9.33203125" style="157" bestFit="1" customWidth="1"/>
    <col min="8725" max="8725" width="10.4140625" style="157" bestFit="1" customWidth="1"/>
    <col min="8726" max="8958" width="8.6640625" style="157"/>
    <col min="8959" max="8959" width="6.08203125" style="157" bestFit="1" customWidth="1"/>
    <col min="8960" max="8960" width="14.33203125" style="157" bestFit="1" customWidth="1"/>
    <col min="8961" max="8961" width="21.75" style="157" bestFit="1" customWidth="1"/>
    <col min="8962" max="8962" width="0" style="157" hidden="1" customWidth="1"/>
    <col min="8963" max="8963" width="16.4140625" style="157" bestFit="1" customWidth="1"/>
    <col min="8964" max="8964" width="14" style="157" bestFit="1" customWidth="1"/>
    <col min="8965" max="8965" width="15.4140625" style="157" bestFit="1" customWidth="1"/>
    <col min="8966" max="8966" width="9.75" style="157" bestFit="1" customWidth="1"/>
    <col min="8967" max="8967" width="8.75" style="157" bestFit="1" customWidth="1"/>
    <col min="8968" max="8968" width="11.4140625" style="157" bestFit="1" customWidth="1"/>
    <col min="8969" max="8969" width="10.4140625" style="157" bestFit="1" customWidth="1"/>
    <col min="8970" max="8970" width="11.4140625" style="157" bestFit="1" customWidth="1"/>
    <col min="8971" max="8971" width="12.4140625" style="157" bestFit="1" customWidth="1"/>
    <col min="8972" max="8972" width="9.08203125" style="157" bestFit="1" customWidth="1"/>
    <col min="8973" max="8973" width="12.4140625" style="157" bestFit="1" customWidth="1"/>
    <col min="8974" max="8974" width="16.4140625" style="157" bestFit="1" customWidth="1"/>
    <col min="8975" max="8975" width="13.75" style="157" bestFit="1" customWidth="1"/>
    <col min="8976" max="8976" width="8.58203125" style="157" bestFit="1" customWidth="1"/>
    <col min="8977" max="8977" width="6.58203125" style="157" bestFit="1" customWidth="1"/>
    <col min="8978" max="8978" width="9.08203125" style="157" customWidth="1"/>
    <col min="8979" max="8979" width="6.08203125" style="157" bestFit="1" customWidth="1"/>
    <col min="8980" max="8980" width="9.33203125" style="157" bestFit="1" customWidth="1"/>
    <col min="8981" max="8981" width="10.4140625" style="157" bestFit="1" customWidth="1"/>
    <col min="8982" max="9214" width="8.6640625" style="157"/>
    <col min="9215" max="9215" width="6.08203125" style="157" bestFit="1" customWidth="1"/>
    <col min="9216" max="9216" width="14.33203125" style="157" bestFit="1" customWidth="1"/>
    <col min="9217" max="9217" width="21.75" style="157" bestFit="1" customWidth="1"/>
    <col min="9218" max="9218" width="0" style="157" hidden="1" customWidth="1"/>
    <col min="9219" max="9219" width="16.4140625" style="157" bestFit="1" customWidth="1"/>
    <col min="9220" max="9220" width="14" style="157" bestFit="1" customWidth="1"/>
    <col min="9221" max="9221" width="15.4140625" style="157" bestFit="1" customWidth="1"/>
    <col min="9222" max="9222" width="9.75" style="157" bestFit="1" customWidth="1"/>
    <col min="9223" max="9223" width="8.75" style="157" bestFit="1" customWidth="1"/>
    <col min="9224" max="9224" width="11.4140625" style="157" bestFit="1" customWidth="1"/>
    <col min="9225" max="9225" width="10.4140625" style="157" bestFit="1" customWidth="1"/>
    <col min="9226" max="9226" width="11.4140625" style="157" bestFit="1" customWidth="1"/>
    <col min="9227" max="9227" width="12.4140625" style="157" bestFit="1" customWidth="1"/>
    <col min="9228" max="9228" width="9.08203125" style="157" bestFit="1" customWidth="1"/>
    <col min="9229" max="9229" width="12.4140625" style="157" bestFit="1" customWidth="1"/>
    <col min="9230" max="9230" width="16.4140625" style="157" bestFit="1" customWidth="1"/>
    <col min="9231" max="9231" width="13.75" style="157" bestFit="1" customWidth="1"/>
    <col min="9232" max="9232" width="8.58203125" style="157" bestFit="1" customWidth="1"/>
    <col min="9233" max="9233" width="6.58203125" style="157" bestFit="1" customWidth="1"/>
    <col min="9234" max="9234" width="9.08203125" style="157" customWidth="1"/>
    <col min="9235" max="9235" width="6.08203125" style="157" bestFit="1" customWidth="1"/>
    <col min="9236" max="9236" width="9.33203125" style="157" bestFit="1" customWidth="1"/>
    <col min="9237" max="9237" width="10.4140625" style="157" bestFit="1" customWidth="1"/>
    <col min="9238" max="9470" width="8.6640625" style="157"/>
    <col min="9471" max="9471" width="6.08203125" style="157" bestFit="1" customWidth="1"/>
    <col min="9472" max="9472" width="14.33203125" style="157" bestFit="1" customWidth="1"/>
    <col min="9473" max="9473" width="21.75" style="157" bestFit="1" customWidth="1"/>
    <col min="9474" max="9474" width="0" style="157" hidden="1" customWidth="1"/>
    <col min="9475" max="9475" width="16.4140625" style="157" bestFit="1" customWidth="1"/>
    <col min="9476" max="9476" width="14" style="157" bestFit="1" customWidth="1"/>
    <col min="9477" max="9477" width="15.4140625" style="157" bestFit="1" customWidth="1"/>
    <col min="9478" max="9478" width="9.75" style="157" bestFit="1" customWidth="1"/>
    <col min="9479" max="9479" width="8.75" style="157" bestFit="1" customWidth="1"/>
    <col min="9480" max="9480" width="11.4140625" style="157" bestFit="1" customWidth="1"/>
    <col min="9481" max="9481" width="10.4140625" style="157" bestFit="1" customWidth="1"/>
    <col min="9482" max="9482" width="11.4140625" style="157" bestFit="1" customWidth="1"/>
    <col min="9483" max="9483" width="12.4140625" style="157" bestFit="1" customWidth="1"/>
    <col min="9484" max="9484" width="9.08203125" style="157" bestFit="1" customWidth="1"/>
    <col min="9485" max="9485" width="12.4140625" style="157" bestFit="1" customWidth="1"/>
    <col min="9486" max="9486" width="16.4140625" style="157" bestFit="1" customWidth="1"/>
    <col min="9487" max="9487" width="13.75" style="157" bestFit="1" customWidth="1"/>
    <col min="9488" max="9488" width="8.58203125" style="157" bestFit="1" customWidth="1"/>
    <col min="9489" max="9489" width="6.58203125" style="157" bestFit="1" customWidth="1"/>
    <col min="9490" max="9490" width="9.08203125" style="157" customWidth="1"/>
    <col min="9491" max="9491" width="6.08203125" style="157" bestFit="1" customWidth="1"/>
    <col min="9492" max="9492" width="9.33203125" style="157" bestFit="1" customWidth="1"/>
    <col min="9493" max="9493" width="10.4140625" style="157" bestFit="1" customWidth="1"/>
    <col min="9494" max="9726" width="8.6640625" style="157"/>
    <col min="9727" max="9727" width="6.08203125" style="157" bestFit="1" customWidth="1"/>
    <col min="9728" max="9728" width="14.33203125" style="157" bestFit="1" customWidth="1"/>
    <col min="9729" max="9729" width="21.75" style="157" bestFit="1" customWidth="1"/>
    <col min="9730" max="9730" width="0" style="157" hidden="1" customWidth="1"/>
    <col min="9731" max="9731" width="16.4140625" style="157" bestFit="1" customWidth="1"/>
    <col min="9732" max="9732" width="14" style="157" bestFit="1" customWidth="1"/>
    <col min="9733" max="9733" width="15.4140625" style="157" bestFit="1" customWidth="1"/>
    <col min="9734" max="9734" width="9.75" style="157" bestFit="1" customWidth="1"/>
    <col min="9735" max="9735" width="8.75" style="157" bestFit="1" customWidth="1"/>
    <col min="9736" max="9736" width="11.4140625" style="157" bestFit="1" customWidth="1"/>
    <col min="9737" max="9737" width="10.4140625" style="157" bestFit="1" customWidth="1"/>
    <col min="9738" max="9738" width="11.4140625" style="157" bestFit="1" customWidth="1"/>
    <col min="9739" max="9739" width="12.4140625" style="157" bestFit="1" customWidth="1"/>
    <col min="9740" max="9740" width="9.08203125" style="157" bestFit="1" customWidth="1"/>
    <col min="9741" max="9741" width="12.4140625" style="157" bestFit="1" customWidth="1"/>
    <col min="9742" max="9742" width="16.4140625" style="157" bestFit="1" customWidth="1"/>
    <col min="9743" max="9743" width="13.75" style="157" bestFit="1" customWidth="1"/>
    <col min="9744" max="9744" width="8.58203125" style="157" bestFit="1" customWidth="1"/>
    <col min="9745" max="9745" width="6.58203125" style="157" bestFit="1" customWidth="1"/>
    <col min="9746" max="9746" width="9.08203125" style="157" customWidth="1"/>
    <col min="9747" max="9747" width="6.08203125" style="157" bestFit="1" customWidth="1"/>
    <col min="9748" max="9748" width="9.33203125" style="157" bestFit="1" customWidth="1"/>
    <col min="9749" max="9749" width="10.4140625" style="157" bestFit="1" customWidth="1"/>
    <col min="9750" max="9982" width="8.6640625" style="157"/>
    <col min="9983" max="9983" width="6.08203125" style="157" bestFit="1" customWidth="1"/>
    <col min="9984" max="9984" width="14.33203125" style="157" bestFit="1" customWidth="1"/>
    <col min="9985" max="9985" width="21.75" style="157" bestFit="1" customWidth="1"/>
    <col min="9986" max="9986" width="0" style="157" hidden="1" customWidth="1"/>
    <col min="9987" max="9987" width="16.4140625" style="157" bestFit="1" customWidth="1"/>
    <col min="9988" max="9988" width="14" style="157" bestFit="1" customWidth="1"/>
    <col min="9989" max="9989" width="15.4140625" style="157" bestFit="1" customWidth="1"/>
    <col min="9990" max="9990" width="9.75" style="157" bestFit="1" customWidth="1"/>
    <col min="9991" max="9991" width="8.75" style="157" bestFit="1" customWidth="1"/>
    <col min="9992" max="9992" width="11.4140625" style="157" bestFit="1" customWidth="1"/>
    <col min="9993" max="9993" width="10.4140625" style="157" bestFit="1" customWidth="1"/>
    <col min="9994" max="9994" width="11.4140625" style="157" bestFit="1" customWidth="1"/>
    <col min="9995" max="9995" width="12.4140625" style="157" bestFit="1" customWidth="1"/>
    <col min="9996" max="9996" width="9.08203125" style="157" bestFit="1" customWidth="1"/>
    <col min="9997" max="9997" width="12.4140625" style="157" bestFit="1" customWidth="1"/>
    <col min="9998" max="9998" width="16.4140625" style="157" bestFit="1" customWidth="1"/>
    <col min="9999" max="9999" width="13.75" style="157" bestFit="1" customWidth="1"/>
    <col min="10000" max="10000" width="8.58203125" style="157" bestFit="1" customWidth="1"/>
    <col min="10001" max="10001" width="6.58203125" style="157" bestFit="1" customWidth="1"/>
    <col min="10002" max="10002" width="9.08203125" style="157" customWidth="1"/>
    <col min="10003" max="10003" width="6.08203125" style="157" bestFit="1" customWidth="1"/>
    <col min="10004" max="10004" width="9.33203125" style="157" bestFit="1" customWidth="1"/>
    <col min="10005" max="10005" width="10.4140625" style="157" bestFit="1" customWidth="1"/>
    <col min="10006" max="10238" width="8.6640625" style="157"/>
    <col min="10239" max="10239" width="6.08203125" style="157" bestFit="1" customWidth="1"/>
    <col min="10240" max="10240" width="14.33203125" style="157" bestFit="1" customWidth="1"/>
    <col min="10241" max="10241" width="21.75" style="157" bestFit="1" customWidth="1"/>
    <col min="10242" max="10242" width="0" style="157" hidden="1" customWidth="1"/>
    <col min="10243" max="10243" width="16.4140625" style="157" bestFit="1" customWidth="1"/>
    <col min="10244" max="10244" width="14" style="157" bestFit="1" customWidth="1"/>
    <col min="10245" max="10245" width="15.4140625" style="157" bestFit="1" customWidth="1"/>
    <col min="10246" max="10246" width="9.75" style="157" bestFit="1" customWidth="1"/>
    <col min="10247" max="10247" width="8.75" style="157" bestFit="1" customWidth="1"/>
    <col min="10248" max="10248" width="11.4140625" style="157" bestFit="1" customWidth="1"/>
    <col min="10249" max="10249" width="10.4140625" style="157" bestFit="1" customWidth="1"/>
    <col min="10250" max="10250" width="11.4140625" style="157" bestFit="1" customWidth="1"/>
    <col min="10251" max="10251" width="12.4140625" style="157" bestFit="1" customWidth="1"/>
    <col min="10252" max="10252" width="9.08203125" style="157" bestFit="1" customWidth="1"/>
    <col min="10253" max="10253" width="12.4140625" style="157" bestFit="1" customWidth="1"/>
    <col min="10254" max="10254" width="16.4140625" style="157" bestFit="1" customWidth="1"/>
    <col min="10255" max="10255" width="13.75" style="157" bestFit="1" customWidth="1"/>
    <col min="10256" max="10256" width="8.58203125" style="157" bestFit="1" customWidth="1"/>
    <col min="10257" max="10257" width="6.58203125" style="157" bestFit="1" customWidth="1"/>
    <col min="10258" max="10258" width="9.08203125" style="157" customWidth="1"/>
    <col min="10259" max="10259" width="6.08203125" style="157" bestFit="1" customWidth="1"/>
    <col min="10260" max="10260" width="9.33203125" style="157" bestFit="1" customWidth="1"/>
    <col min="10261" max="10261" width="10.4140625" style="157" bestFit="1" customWidth="1"/>
    <col min="10262" max="10494" width="8.6640625" style="157"/>
    <col min="10495" max="10495" width="6.08203125" style="157" bestFit="1" customWidth="1"/>
    <col min="10496" max="10496" width="14.33203125" style="157" bestFit="1" customWidth="1"/>
    <col min="10497" max="10497" width="21.75" style="157" bestFit="1" customWidth="1"/>
    <col min="10498" max="10498" width="0" style="157" hidden="1" customWidth="1"/>
    <col min="10499" max="10499" width="16.4140625" style="157" bestFit="1" customWidth="1"/>
    <col min="10500" max="10500" width="14" style="157" bestFit="1" customWidth="1"/>
    <col min="10501" max="10501" width="15.4140625" style="157" bestFit="1" customWidth="1"/>
    <col min="10502" max="10502" width="9.75" style="157" bestFit="1" customWidth="1"/>
    <col min="10503" max="10503" width="8.75" style="157" bestFit="1" customWidth="1"/>
    <col min="10504" max="10504" width="11.4140625" style="157" bestFit="1" customWidth="1"/>
    <col min="10505" max="10505" width="10.4140625" style="157" bestFit="1" customWidth="1"/>
    <col min="10506" max="10506" width="11.4140625" style="157" bestFit="1" customWidth="1"/>
    <col min="10507" max="10507" width="12.4140625" style="157" bestFit="1" customWidth="1"/>
    <col min="10508" max="10508" width="9.08203125" style="157" bestFit="1" customWidth="1"/>
    <col min="10509" max="10509" width="12.4140625" style="157" bestFit="1" customWidth="1"/>
    <col min="10510" max="10510" width="16.4140625" style="157" bestFit="1" customWidth="1"/>
    <col min="10511" max="10511" width="13.75" style="157" bestFit="1" customWidth="1"/>
    <col min="10512" max="10512" width="8.58203125" style="157" bestFit="1" customWidth="1"/>
    <col min="10513" max="10513" width="6.58203125" style="157" bestFit="1" customWidth="1"/>
    <col min="10514" max="10514" width="9.08203125" style="157" customWidth="1"/>
    <col min="10515" max="10515" width="6.08203125" style="157" bestFit="1" customWidth="1"/>
    <col min="10516" max="10516" width="9.33203125" style="157" bestFit="1" customWidth="1"/>
    <col min="10517" max="10517" width="10.4140625" style="157" bestFit="1" customWidth="1"/>
    <col min="10518" max="10750" width="8.6640625" style="157"/>
    <col min="10751" max="10751" width="6.08203125" style="157" bestFit="1" customWidth="1"/>
    <col min="10752" max="10752" width="14.33203125" style="157" bestFit="1" customWidth="1"/>
    <col min="10753" max="10753" width="21.75" style="157" bestFit="1" customWidth="1"/>
    <col min="10754" max="10754" width="0" style="157" hidden="1" customWidth="1"/>
    <col min="10755" max="10755" width="16.4140625" style="157" bestFit="1" customWidth="1"/>
    <col min="10756" max="10756" width="14" style="157" bestFit="1" customWidth="1"/>
    <col min="10757" max="10757" width="15.4140625" style="157" bestFit="1" customWidth="1"/>
    <col min="10758" max="10758" width="9.75" style="157" bestFit="1" customWidth="1"/>
    <col min="10759" max="10759" width="8.75" style="157" bestFit="1" customWidth="1"/>
    <col min="10760" max="10760" width="11.4140625" style="157" bestFit="1" customWidth="1"/>
    <col min="10761" max="10761" width="10.4140625" style="157" bestFit="1" customWidth="1"/>
    <col min="10762" max="10762" width="11.4140625" style="157" bestFit="1" customWidth="1"/>
    <col min="10763" max="10763" width="12.4140625" style="157" bestFit="1" customWidth="1"/>
    <col min="10764" max="10764" width="9.08203125" style="157" bestFit="1" customWidth="1"/>
    <col min="10765" max="10765" width="12.4140625" style="157" bestFit="1" customWidth="1"/>
    <col min="10766" max="10766" width="16.4140625" style="157" bestFit="1" customWidth="1"/>
    <col min="10767" max="10767" width="13.75" style="157" bestFit="1" customWidth="1"/>
    <col min="10768" max="10768" width="8.58203125" style="157" bestFit="1" customWidth="1"/>
    <col min="10769" max="10769" width="6.58203125" style="157" bestFit="1" customWidth="1"/>
    <col min="10770" max="10770" width="9.08203125" style="157" customWidth="1"/>
    <col min="10771" max="10771" width="6.08203125" style="157" bestFit="1" customWidth="1"/>
    <col min="10772" max="10772" width="9.33203125" style="157" bestFit="1" customWidth="1"/>
    <col min="10773" max="10773" width="10.4140625" style="157" bestFit="1" customWidth="1"/>
    <col min="10774" max="11006" width="8.6640625" style="157"/>
    <col min="11007" max="11007" width="6.08203125" style="157" bestFit="1" customWidth="1"/>
    <col min="11008" max="11008" width="14.33203125" style="157" bestFit="1" customWidth="1"/>
    <col min="11009" max="11009" width="21.75" style="157" bestFit="1" customWidth="1"/>
    <col min="11010" max="11010" width="0" style="157" hidden="1" customWidth="1"/>
    <col min="11011" max="11011" width="16.4140625" style="157" bestFit="1" customWidth="1"/>
    <col min="11012" max="11012" width="14" style="157" bestFit="1" customWidth="1"/>
    <col min="11013" max="11013" width="15.4140625" style="157" bestFit="1" customWidth="1"/>
    <col min="11014" max="11014" width="9.75" style="157" bestFit="1" customWidth="1"/>
    <col min="11015" max="11015" width="8.75" style="157" bestFit="1" customWidth="1"/>
    <col min="11016" max="11016" width="11.4140625" style="157" bestFit="1" customWidth="1"/>
    <col min="11017" max="11017" width="10.4140625" style="157" bestFit="1" customWidth="1"/>
    <col min="11018" max="11018" width="11.4140625" style="157" bestFit="1" customWidth="1"/>
    <col min="11019" max="11019" width="12.4140625" style="157" bestFit="1" customWidth="1"/>
    <col min="11020" max="11020" width="9.08203125" style="157" bestFit="1" customWidth="1"/>
    <col min="11021" max="11021" width="12.4140625" style="157" bestFit="1" customWidth="1"/>
    <col min="11022" max="11022" width="16.4140625" style="157" bestFit="1" customWidth="1"/>
    <col min="11023" max="11023" width="13.75" style="157" bestFit="1" customWidth="1"/>
    <col min="11024" max="11024" width="8.58203125" style="157" bestFit="1" customWidth="1"/>
    <col min="11025" max="11025" width="6.58203125" style="157" bestFit="1" customWidth="1"/>
    <col min="11026" max="11026" width="9.08203125" style="157" customWidth="1"/>
    <col min="11027" max="11027" width="6.08203125" style="157" bestFit="1" customWidth="1"/>
    <col min="11028" max="11028" width="9.33203125" style="157" bestFit="1" customWidth="1"/>
    <col min="11029" max="11029" width="10.4140625" style="157" bestFit="1" customWidth="1"/>
    <col min="11030" max="11262" width="8.6640625" style="157"/>
    <col min="11263" max="11263" width="6.08203125" style="157" bestFit="1" customWidth="1"/>
    <col min="11264" max="11264" width="14.33203125" style="157" bestFit="1" customWidth="1"/>
    <col min="11265" max="11265" width="21.75" style="157" bestFit="1" customWidth="1"/>
    <col min="11266" max="11266" width="0" style="157" hidden="1" customWidth="1"/>
    <col min="11267" max="11267" width="16.4140625" style="157" bestFit="1" customWidth="1"/>
    <col min="11268" max="11268" width="14" style="157" bestFit="1" customWidth="1"/>
    <col min="11269" max="11269" width="15.4140625" style="157" bestFit="1" customWidth="1"/>
    <col min="11270" max="11270" width="9.75" style="157" bestFit="1" customWidth="1"/>
    <col min="11271" max="11271" width="8.75" style="157" bestFit="1" customWidth="1"/>
    <col min="11272" max="11272" width="11.4140625" style="157" bestFit="1" customWidth="1"/>
    <col min="11273" max="11273" width="10.4140625" style="157" bestFit="1" customWidth="1"/>
    <col min="11274" max="11274" width="11.4140625" style="157" bestFit="1" customWidth="1"/>
    <col min="11275" max="11275" width="12.4140625" style="157" bestFit="1" customWidth="1"/>
    <col min="11276" max="11276" width="9.08203125" style="157" bestFit="1" customWidth="1"/>
    <col min="11277" max="11277" width="12.4140625" style="157" bestFit="1" customWidth="1"/>
    <col min="11278" max="11278" width="16.4140625" style="157" bestFit="1" customWidth="1"/>
    <col min="11279" max="11279" width="13.75" style="157" bestFit="1" customWidth="1"/>
    <col min="11280" max="11280" width="8.58203125" style="157" bestFit="1" customWidth="1"/>
    <col min="11281" max="11281" width="6.58203125" style="157" bestFit="1" customWidth="1"/>
    <col min="11282" max="11282" width="9.08203125" style="157" customWidth="1"/>
    <col min="11283" max="11283" width="6.08203125" style="157" bestFit="1" customWidth="1"/>
    <col min="11284" max="11284" width="9.33203125" style="157" bestFit="1" customWidth="1"/>
    <col min="11285" max="11285" width="10.4140625" style="157" bestFit="1" customWidth="1"/>
    <col min="11286" max="11518" width="8.6640625" style="157"/>
    <col min="11519" max="11519" width="6.08203125" style="157" bestFit="1" customWidth="1"/>
    <col min="11520" max="11520" width="14.33203125" style="157" bestFit="1" customWidth="1"/>
    <col min="11521" max="11521" width="21.75" style="157" bestFit="1" customWidth="1"/>
    <col min="11522" max="11522" width="0" style="157" hidden="1" customWidth="1"/>
    <col min="11523" max="11523" width="16.4140625" style="157" bestFit="1" customWidth="1"/>
    <col min="11524" max="11524" width="14" style="157" bestFit="1" customWidth="1"/>
    <col min="11525" max="11525" width="15.4140625" style="157" bestFit="1" customWidth="1"/>
    <col min="11526" max="11526" width="9.75" style="157" bestFit="1" customWidth="1"/>
    <col min="11527" max="11527" width="8.75" style="157" bestFit="1" customWidth="1"/>
    <col min="11528" max="11528" width="11.4140625" style="157" bestFit="1" customWidth="1"/>
    <col min="11529" max="11529" width="10.4140625" style="157" bestFit="1" customWidth="1"/>
    <col min="11530" max="11530" width="11.4140625" style="157" bestFit="1" customWidth="1"/>
    <col min="11531" max="11531" width="12.4140625" style="157" bestFit="1" customWidth="1"/>
    <col min="11532" max="11532" width="9.08203125" style="157" bestFit="1" customWidth="1"/>
    <col min="11533" max="11533" width="12.4140625" style="157" bestFit="1" customWidth="1"/>
    <col min="11534" max="11534" width="16.4140625" style="157" bestFit="1" customWidth="1"/>
    <col min="11535" max="11535" width="13.75" style="157" bestFit="1" customWidth="1"/>
    <col min="11536" max="11536" width="8.58203125" style="157" bestFit="1" customWidth="1"/>
    <col min="11537" max="11537" width="6.58203125" style="157" bestFit="1" customWidth="1"/>
    <col min="11538" max="11538" width="9.08203125" style="157" customWidth="1"/>
    <col min="11539" max="11539" width="6.08203125" style="157" bestFit="1" customWidth="1"/>
    <col min="11540" max="11540" width="9.33203125" style="157" bestFit="1" customWidth="1"/>
    <col min="11541" max="11541" width="10.4140625" style="157" bestFit="1" customWidth="1"/>
    <col min="11542" max="11774" width="8.6640625" style="157"/>
    <col min="11775" max="11775" width="6.08203125" style="157" bestFit="1" customWidth="1"/>
    <col min="11776" max="11776" width="14.33203125" style="157" bestFit="1" customWidth="1"/>
    <col min="11777" max="11777" width="21.75" style="157" bestFit="1" customWidth="1"/>
    <col min="11778" max="11778" width="0" style="157" hidden="1" customWidth="1"/>
    <col min="11779" max="11779" width="16.4140625" style="157" bestFit="1" customWidth="1"/>
    <col min="11780" max="11780" width="14" style="157" bestFit="1" customWidth="1"/>
    <col min="11781" max="11781" width="15.4140625" style="157" bestFit="1" customWidth="1"/>
    <col min="11782" max="11782" width="9.75" style="157" bestFit="1" customWidth="1"/>
    <col min="11783" max="11783" width="8.75" style="157" bestFit="1" customWidth="1"/>
    <col min="11784" max="11784" width="11.4140625" style="157" bestFit="1" customWidth="1"/>
    <col min="11785" max="11785" width="10.4140625" style="157" bestFit="1" customWidth="1"/>
    <col min="11786" max="11786" width="11.4140625" style="157" bestFit="1" customWidth="1"/>
    <col min="11787" max="11787" width="12.4140625" style="157" bestFit="1" customWidth="1"/>
    <col min="11788" max="11788" width="9.08203125" style="157" bestFit="1" customWidth="1"/>
    <col min="11789" max="11789" width="12.4140625" style="157" bestFit="1" customWidth="1"/>
    <col min="11790" max="11790" width="16.4140625" style="157" bestFit="1" customWidth="1"/>
    <col min="11791" max="11791" width="13.75" style="157" bestFit="1" customWidth="1"/>
    <col min="11792" max="11792" width="8.58203125" style="157" bestFit="1" customWidth="1"/>
    <col min="11793" max="11793" width="6.58203125" style="157" bestFit="1" customWidth="1"/>
    <col min="11794" max="11794" width="9.08203125" style="157" customWidth="1"/>
    <col min="11795" max="11795" width="6.08203125" style="157" bestFit="1" customWidth="1"/>
    <col min="11796" max="11796" width="9.33203125" style="157" bestFit="1" customWidth="1"/>
    <col min="11797" max="11797" width="10.4140625" style="157" bestFit="1" customWidth="1"/>
    <col min="11798" max="12030" width="8.6640625" style="157"/>
    <col min="12031" max="12031" width="6.08203125" style="157" bestFit="1" customWidth="1"/>
    <col min="12032" max="12032" width="14.33203125" style="157" bestFit="1" customWidth="1"/>
    <col min="12033" max="12033" width="21.75" style="157" bestFit="1" customWidth="1"/>
    <col min="12034" max="12034" width="0" style="157" hidden="1" customWidth="1"/>
    <col min="12035" max="12035" width="16.4140625" style="157" bestFit="1" customWidth="1"/>
    <col min="12036" max="12036" width="14" style="157" bestFit="1" customWidth="1"/>
    <col min="12037" max="12037" width="15.4140625" style="157" bestFit="1" customWidth="1"/>
    <col min="12038" max="12038" width="9.75" style="157" bestFit="1" customWidth="1"/>
    <col min="12039" max="12039" width="8.75" style="157" bestFit="1" customWidth="1"/>
    <col min="12040" max="12040" width="11.4140625" style="157" bestFit="1" customWidth="1"/>
    <col min="12041" max="12041" width="10.4140625" style="157" bestFit="1" customWidth="1"/>
    <col min="12042" max="12042" width="11.4140625" style="157" bestFit="1" customWidth="1"/>
    <col min="12043" max="12043" width="12.4140625" style="157" bestFit="1" customWidth="1"/>
    <col min="12044" max="12044" width="9.08203125" style="157" bestFit="1" customWidth="1"/>
    <col min="12045" max="12045" width="12.4140625" style="157" bestFit="1" customWidth="1"/>
    <col min="12046" max="12046" width="16.4140625" style="157" bestFit="1" customWidth="1"/>
    <col min="12047" max="12047" width="13.75" style="157" bestFit="1" customWidth="1"/>
    <col min="12048" max="12048" width="8.58203125" style="157" bestFit="1" customWidth="1"/>
    <col min="12049" max="12049" width="6.58203125" style="157" bestFit="1" customWidth="1"/>
    <col min="12050" max="12050" width="9.08203125" style="157" customWidth="1"/>
    <col min="12051" max="12051" width="6.08203125" style="157" bestFit="1" customWidth="1"/>
    <col min="12052" max="12052" width="9.33203125" style="157" bestFit="1" customWidth="1"/>
    <col min="12053" max="12053" width="10.4140625" style="157" bestFit="1" customWidth="1"/>
    <col min="12054" max="12286" width="8.6640625" style="157"/>
    <col min="12287" max="12287" width="6.08203125" style="157" bestFit="1" customWidth="1"/>
    <col min="12288" max="12288" width="14.33203125" style="157" bestFit="1" customWidth="1"/>
    <col min="12289" max="12289" width="21.75" style="157" bestFit="1" customWidth="1"/>
    <col min="12290" max="12290" width="0" style="157" hidden="1" customWidth="1"/>
    <col min="12291" max="12291" width="16.4140625" style="157" bestFit="1" customWidth="1"/>
    <col min="12292" max="12292" width="14" style="157" bestFit="1" customWidth="1"/>
    <col min="12293" max="12293" width="15.4140625" style="157" bestFit="1" customWidth="1"/>
    <col min="12294" max="12294" width="9.75" style="157" bestFit="1" customWidth="1"/>
    <col min="12295" max="12295" width="8.75" style="157" bestFit="1" customWidth="1"/>
    <col min="12296" max="12296" width="11.4140625" style="157" bestFit="1" customWidth="1"/>
    <col min="12297" max="12297" width="10.4140625" style="157" bestFit="1" customWidth="1"/>
    <col min="12298" max="12298" width="11.4140625" style="157" bestFit="1" customWidth="1"/>
    <col min="12299" max="12299" width="12.4140625" style="157" bestFit="1" customWidth="1"/>
    <col min="12300" max="12300" width="9.08203125" style="157" bestFit="1" customWidth="1"/>
    <col min="12301" max="12301" width="12.4140625" style="157" bestFit="1" customWidth="1"/>
    <col min="12302" max="12302" width="16.4140625" style="157" bestFit="1" customWidth="1"/>
    <col min="12303" max="12303" width="13.75" style="157" bestFit="1" customWidth="1"/>
    <col min="12304" max="12304" width="8.58203125" style="157" bestFit="1" customWidth="1"/>
    <col min="12305" max="12305" width="6.58203125" style="157" bestFit="1" customWidth="1"/>
    <col min="12306" max="12306" width="9.08203125" style="157" customWidth="1"/>
    <col min="12307" max="12307" width="6.08203125" style="157" bestFit="1" customWidth="1"/>
    <col min="12308" max="12308" width="9.33203125" style="157" bestFit="1" customWidth="1"/>
    <col min="12309" max="12309" width="10.4140625" style="157" bestFit="1" customWidth="1"/>
    <col min="12310" max="12542" width="8.6640625" style="157"/>
    <col min="12543" max="12543" width="6.08203125" style="157" bestFit="1" customWidth="1"/>
    <col min="12544" max="12544" width="14.33203125" style="157" bestFit="1" customWidth="1"/>
    <col min="12545" max="12545" width="21.75" style="157" bestFit="1" customWidth="1"/>
    <col min="12546" max="12546" width="0" style="157" hidden="1" customWidth="1"/>
    <col min="12547" max="12547" width="16.4140625" style="157" bestFit="1" customWidth="1"/>
    <col min="12548" max="12548" width="14" style="157" bestFit="1" customWidth="1"/>
    <col min="12549" max="12549" width="15.4140625" style="157" bestFit="1" customWidth="1"/>
    <col min="12550" max="12550" width="9.75" style="157" bestFit="1" customWidth="1"/>
    <col min="12551" max="12551" width="8.75" style="157" bestFit="1" customWidth="1"/>
    <col min="12552" max="12552" width="11.4140625" style="157" bestFit="1" customWidth="1"/>
    <col min="12553" max="12553" width="10.4140625" style="157" bestFit="1" customWidth="1"/>
    <col min="12554" max="12554" width="11.4140625" style="157" bestFit="1" customWidth="1"/>
    <col min="12555" max="12555" width="12.4140625" style="157" bestFit="1" customWidth="1"/>
    <col min="12556" max="12556" width="9.08203125" style="157" bestFit="1" customWidth="1"/>
    <col min="12557" max="12557" width="12.4140625" style="157" bestFit="1" customWidth="1"/>
    <col min="12558" max="12558" width="16.4140625" style="157" bestFit="1" customWidth="1"/>
    <col min="12559" max="12559" width="13.75" style="157" bestFit="1" customWidth="1"/>
    <col min="12560" max="12560" width="8.58203125" style="157" bestFit="1" customWidth="1"/>
    <col min="12561" max="12561" width="6.58203125" style="157" bestFit="1" customWidth="1"/>
    <col min="12562" max="12562" width="9.08203125" style="157" customWidth="1"/>
    <col min="12563" max="12563" width="6.08203125" style="157" bestFit="1" customWidth="1"/>
    <col min="12564" max="12564" width="9.33203125" style="157" bestFit="1" customWidth="1"/>
    <col min="12565" max="12565" width="10.4140625" style="157" bestFit="1" customWidth="1"/>
    <col min="12566" max="12798" width="8.6640625" style="157"/>
    <col min="12799" max="12799" width="6.08203125" style="157" bestFit="1" customWidth="1"/>
    <col min="12800" max="12800" width="14.33203125" style="157" bestFit="1" customWidth="1"/>
    <col min="12801" max="12801" width="21.75" style="157" bestFit="1" customWidth="1"/>
    <col min="12802" max="12802" width="0" style="157" hidden="1" customWidth="1"/>
    <col min="12803" max="12803" width="16.4140625" style="157" bestFit="1" customWidth="1"/>
    <col min="12804" max="12804" width="14" style="157" bestFit="1" customWidth="1"/>
    <col min="12805" max="12805" width="15.4140625" style="157" bestFit="1" customWidth="1"/>
    <col min="12806" max="12806" width="9.75" style="157" bestFit="1" customWidth="1"/>
    <col min="12807" max="12807" width="8.75" style="157" bestFit="1" customWidth="1"/>
    <col min="12808" max="12808" width="11.4140625" style="157" bestFit="1" customWidth="1"/>
    <col min="12809" max="12809" width="10.4140625" style="157" bestFit="1" customWidth="1"/>
    <col min="12810" max="12810" width="11.4140625" style="157" bestFit="1" customWidth="1"/>
    <col min="12811" max="12811" width="12.4140625" style="157" bestFit="1" customWidth="1"/>
    <col min="12812" max="12812" width="9.08203125" style="157" bestFit="1" customWidth="1"/>
    <col min="12813" max="12813" width="12.4140625" style="157" bestFit="1" customWidth="1"/>
    <col min="12814" max="12814" width="16.4140625" style="157" bestFit="1" customWidth="1"/>
    <col min="12815" max="12815" width="13.75" style="157" bestFit="1" customWidth="1"/>
    <col min="12816" max="12816" width="8.58203125" style="157" bestFit="1" customWidth="1"/>
    <col min="12817" max="12817" width="6.58203125" style="157" bestFit="1" customWidth="1"/>
    <col min="12818" max="12818" width="9.08203125" style="157" customWidth="1"/>
    <col min="12819" max="12819" width="6.08203125" style="157" bestFit="1" customWidth="1"/>
    <col min="12820" max="12820" width="9.33203125" style="157" bestFit="1" customWidth="1"/>
    <col min="12821" max="12821" width="10.4140625" style="157" bestFit="1" customWidth="1"/>
    <col min="12822" max="13054" width="8.6640625" style="157"/>
    <col min="13055" max="13055" width="6.08203125" style="157" bestFit="1" customWidth="1"/>
    <col min="13056" max="13056" width="14.33203125" style="157" bestFit="1" customWidth="1"/>
    <col min="13057" max="13057" width="21.75" style="157" bestFit="1" customWidth="1"/>
    <col min="13058" max="13058" width="0" style="157" hidden="1" customWidth="1"/>
    <col min="13059" max="13059" width="16.4140625" style="157" bestFit="1" customWidth="1"/>
    <col min="13060" max="13060" width="14" style="157" bestFit="1" customWidth="1"/>
    <col min="13061" max="13061" width="15.4140625" style="157" bestFit="1" customWidth="1"/>
    <col min="13062" max="13062" width="9.75" style="157" bestFit="1" customWidth="1"/>
    <col min="13063" max="13063" width="8.75" style="157" bestFit="1" customWidth="1"/>
    <col min="13064" max="13064" width="11.4140625" style="157" bestFit="1" customWidth="1"/>
    <col min="13065" max="13065" width="10.4140625" style="157" bestFit="1" customWidth="1"/>
    <col min="13066" max="13066" width="11.4140625" style="157" bestFit="1" customWidth="1"/>
    <col min="13067" max="13067" width="12.4140625" style="157" bestFit="1" customWidth="1"/>
    <col min="13068" max="13068" width="9.08203125" style="157" bestFit="1" customWidth="1"/>
    <col min="13069" max="13069" width="12.4140625" style="157" bestFit="1" customWidth="1"/>
    <col min="13070" max="13070" width="16.4140625" style="157" bestFit="1" customWidth="1"/>
    <col min="13071" max="13071" width="13.75" style="157" bestFit="1" customWidth="1"/>
    <col min="13072" max="13072" width="8.58203125" style="157" bestFit="1" customWidth="1"/>
    <col min="13073" max="13073" width="6.58203125" style="157" bestFit="1" customWidth="1"/>
    <col min="13074" max="13074" width="9.08203125" style="157" customWidth="1"/>
    <col min="13075" max="13075" width="6.08203125" style="157" bestFit="1" customWidth="1"/>
    <col min="13076" max="13076" width="9.33203125" style="157" bestFit="1" customWidth="1"/>
    <col min="13077" max="13077" width="10.4140625" style="157" bestFit="1" customWidth="1"/>
    <col min="13078" max="13310" width="8.6640625" style="157"/>
    <col min="13311" max="13311" width="6.08203125" style="157" bestFit="1" customWidth="1"/>
    <col min="13312" max="13312" width="14.33203125" style="157" bestFit="1" customWidth="1"/>
    <col min="13313" max="13313" width="21.75" style="157" bestFit="1" customWidth="1"/>
    <col min="13314" max="13314" width="0" style="157" hidden="1" customWidth="1"/>
    <col min="13315" max="13315" width="16.4140625" style="157" bestFit="1" customWidth="1"/>
    <col min="13316" max="13316" width="14" style="157" bestFit="1" customWidth="1"/>
    <col min="13317" max="13317" width="15.4140625" style="157" bestFit="1" customWidth="1"/>
    <col min="13318" max="13318" width="9.75" style="157" bestFit="1" customWidth="1"/>
    <col min="13319" max="13319" width="8.75" style="157" bestFit="1" customWidth="1"/>
    <col min="13320" max="13320" width="11.4140625" style="157" bestFit="1" customWidth="1"/>
    <col min="13321" max="13321" width="10.4140625" style="157" bestFit="1" customWidth="1"/>
    <col min="13322" max="13322" width="11.4140625" style="157" bestFit="1" customWidth="1"/>
    <col min="13323" max="13323" width="12.4140625" style="157" bestFit="1" customWidth="1"/>
    <col min="13324" max="13324" width="9.08203125" style="157" bestFit="1" customWidth="1"/>
    <col min="13325" max="13325" width="12.4140625" style="157" bestFit="1" customWidth="1"/>
    <col min="13326" max="13326" width="16.4140625" style="157" bestFit="1" customWidth="1"/>
    <col min="13327" max="13327" width="13.75" style="157" bestFit="1" customWidth="1"/>
    <col min="13328" max="13328" width="8.58203125" style="157" bestFit="1" customWidth="1"/>
    <col min="13329" max="13329" width="6.58203125" style="157" bestFit="1" customWidth="1"/>
    <col min="13330" max="13330" width="9.08203125" style="157" customWidth="1"/>
    <col min="13331" max="13331" width="6.08203125" style="157" bestFit="1" customWidth="1"/>
    <col min="13332" max="13332" width="9.33203125" style="157" bestFit="1" customWidth="1"/>
    <col min="13333" max="13333" width="10.4140625" style="157" bestFit="1" customWidth="1"/>
    <col min="13334" max="13566" width="8.6640625" style="157"/>
    <col min="13567" max="13567" width="6.08203125" style="157" bestFit="1" customWidth="1"/>
    <col min="13568" max="13568" width="14.33203125" style="157" bestFit="1" customWidth="1"/>
    <col min="13569" max="13569" width="21.75" style="157" bestFit="1" customWidth="1"/>
    <col min="13570" max="13570" width="0" style="157" hidden="1" customWidth="1"/>
    <col min="13571" max="13571" width="16.4140625" style="157" bestFit="1" customWidth="1"/>
    <col min="13572" max="13572" width="14" style="157" bestFit="1" customWidth="1"/>
    <col min="13573" max="13573" width="15.4140625" style="157" bestFit="1" customWidth="1"/>
    <col min="13574" max="13574" width="9.75" style="157" bestFit="1" customWidth="1"/>
    <col min="13575" max="13575" width="8.75" style="157" bestFit="1" customWidth="1"/>
    <col min="13576" max="13576" width="11.4140625" style="157" bestFit="1" customWidth="1"/>
    <col min="13577" max="13577" width="10.4140625" style="157" bestFit="1" customWidth="1"/>
    <col min="13578" max="13578" width="11.4140625" style="157" bestFit="1" customWidth="1"/>
    <col min="13579" max="13579" width="12.4140625" style="157" bestFit="1" customWidth="1"/>
    <col min="13580" max="13580" width="9.08203125" style="157" bestFit="1" customWidth="1"/>
    <col min="13581" max="13581" width="12.4140625" style="157" bestFit="1" customWidth="1"/>
    <col min="13582" max="13582" width="16.4140625" style="157" bestFit="1" customWidth="1"/>
    <col min="13583" max="13583" width="13.75" style="157" bestFit="1" customWidth="1"/>
    <col min="13584" max="13584" width="8.58203125" style="157" bestFit="1" customWidth="1"/>
    <col min="13585" max="13585" width="6.58203125" style="157" bestFit="1" customWidth="1"/>
    <col min="13586" max="13586" width="9.08203125" style="157" customWidth="1"/>
    <col min="13587" max="13587" width="6.08203125" style="157" bestFit="1" customWidth="1"/>
    <col min="13588" max="13588" width="9.33203125" style="157" bestFit="1" customWidth="1"/>
    <col min="13589" max="13589" width="10.4140625" style="157" bestFit="1" customWidth="1"/>
    <col min="13590" max="13822" width="8.6640625" style="157"/>
    <col min="13823" max="13823" width="6.08203125" style="157" bestFit="1" customWidth="1"/>
    <col min="13824" max="13824" width="14.33203125" style="157" bestFit="1" customWidth="1"/>
    <col min="13825" max="13825" width="21.75" style="157" bestFit="1" customWidth="1"/>
    <col min="13826" max="13826" width="0" style="157" hidden="1" customWidth="1"/>
    <col min="13827" max="13827" width="16.4140625" style="157" bestFit="1" customWidth="1"/>
    <col min="13828" max="13828" width="14" style="157" bestFit="1" customWidth="1"/>
    <col min="13829" max="13829" width="15.4140625" style="157" bestFit="1" customWidth="1"/>
    <col min="13830" max="13830" width="9.75" style="157" bestFit="1" customWidth="1"/>
    <col min="13831" max="13831" width="8.75" style="157" bestFit="1" customWidth="1"/>
    <col min="13832" max="13832" width="11.4140625" style="157" bestFit="1" customWidth="1"/>
    <col min="13833" max="13833" width="10.4140625" style="157" bestFit="1" customWidth="1"/>
    <col min="13834" max="13834" width="11.4140625" style="157" bestFit="1" customWidth="1"/>
    <col min="13835" max="13835" width="12.4140625" style="157" bestFit="1" customWidth="1"/>
    <col min="13836" max="13836" width="9.08203125" style="157" bestFit="1" customWidth="1"/>
    <col min="13837" max="13837" width="12.4140625" style="157" bestFit="1" customWidth="1"/>
    <col min="13838" max="13838" width="16.4140625" style="157" bestFit="1" customWidth="1"/>
    <col min="13839" max="13839" width="13.75" style="157" bestFit="1" customWidth="1"/>
    <col min="13840" max="13840" width="8.58203125" style="157" bestFit="1" customWidth="1"/>
    <col min="13841" max="13841" width="6.58203125" style="157" bestFit="1" customWidth="1"/>
    <col min="13842" max="13842" width="9.08203125" style="157" customWidth="1"/>
    <col min="13843" max="13843" width="6.08203125" style="157" bestFit="1" customWidth="1"/>
    <col min="13844" max="13844" width="9.33203125" style="157" bestFit="1" customWidth="1"/>
    <col min="13845" max="13845" width="10.4140625" style="157" bestFit="1" customWidth="1"/>
    <col min="13846" max="14078" width="8.6640625" style="157"/>
    <col min="14079" max="14079" width="6.08203125" style="157" bestFit="1" customWidth="1"/>
    <col min="14080" max="14080" width="14.33203125" style="157" bestFit="1" customWidth="1"/>
    <col min="14081" max="14081" width="21.75" style="157" bestFit="1" customWidth="1"/>
    <col min="14082" max="14082" width="0" style="157" hidden="1" customWidth="1"/>
    <col min="14083" max="14083" width="16.4140625" style="157" bestFit="1" customWidth="1"/>
    <col min="14084" max="14084" width="14" style="157" bestFit="1" customWidth="1"/>
    <col min="14085" max="14085" width="15.4140625" style="157" bestFit="1" customWidth="1"/>
    <col min="14086" max="14086" width="9.75" style="157" bestFit="1" customWidth="1"/>
    <col min="14087" max="14087" width="8.75" style="157" bestFit="1" customWidth="1"/>
    <col min="14088" max="14088" width="11.4140625" style="157" bestFit="1" customWidth="1"/>
    <col min="14089" max="14089" width="10.4140625" style="157" bestFit="1" customWidth="1"/>
    <col min="14090" max="14090" width="11.4140625" style="157" bestFit="1" customWidth="1"/>
    <col min="14091" max="14091" width="12.4140625" style="157" bestFit="1" customWidth="1"/>
    <col min="14092" max="14092" width="9.08203125" style="157" bestFit="1" customWidth="1"/>
    <col min="14093" max="14093" width="12.4140625" style="157" bestFit="1" customWidth="1"/>
    <col min="14094" max="14094" width="16.4140625" style="157" bestFit="1" customWidth="1"/>
    <col min="14095" max="14095" width="13.75" style="157" bestFit="1" customWidth="1"/>
    <col min="14096" max="14096" width="8.58203125" style="157" bestFit="1" customWidth="1"/>
    <col min="14097" max="14097" width="6.58203125" style="157" bestFit="1" customWidth="1"/>
    <col min="14098" max="14098" width="9.08203125" style="157" customWidth="1"/>
    <col min="14099" max="14099" width="6.08203125" style="157" bestFit="1" customWidth="1"/>
    <col min="14100" max="14100" width="9.33203125" style="157" bestFit="1" customWidth="1"/>
    <col min="14101" max="14101" width="10.4140625" style="157" bestFit="1" customWidth="1"/>
    <col min="14102" max="14334" width="8.6640625" style="157"/>
    <col min="14335" max="14335" width="6.08203125" style="157" bestFit="1" customWidth="1"/>
    <col min="14336" max="14336" width="14.33203125" style="157" bestFit="1" customWidth="1"/>
    <col min="14337" max="14337" width="21.75" style="157" bestFit="1" customWidth="1"/>
    <col min="14338" max="14338" width="0" style="157" hidden="1" customWidth="1"/>
    <col min="14339" max="14339" width="16.4140625" style="157" bestFit="1" customWidth="1"/>
    <col min="14340" max="14340" width="14" style="157" bestFit="1" customWidth="1"/>
    <col min="14341" max="14341" width="15.4140625" style="157" bestFit="1" customWidth="1"/>
    <col min="14342" max="14342" width="9.75" style="157" bestFit="1" customWidth="1"/>
    <col min="14343" max="14343" width="8.75" style="157" bestFit="1" customWidth="1"/>
    <col min="14344" max="14344" width="11.4140625" style="157" bestFit="1" customWidth="1"/>
    <col min="14345" max="14345" width="10.4140625" style="157" bestFit="1" customWidth="1"/>
    <col min="14346" max="14346" width="11.4140625" style="157" bestFit="1" customWidth="1"/>
    <col min="14347" max="14347" width="12.4140625" style="157" bestFit="1" customWidth="1"/>
    <col min="14348" max="14348" width="9.08203125" style="157" bestFit="1" customWidth="1"/>
    <col min="14349" max="14349" width="12.4140625" style="157" bestFit="1" customWidth="1"/>
    <col min="14350" max="14350" width="16.4140625" style="157" bestFit="1" customWidth="1"/>
    <col min="14351" max="14351" width="13.75" style="157" bestFit="1" customWidth="1"/>
    <col min="14352" max="14352" width="8.58203125" style="157" bestFit="1" customWidth="1"/>
    <col min="14353" max="14353" width="6.58203125" style="157" bestFit="1" customWidth="1"/>
    <col min="14354" max="14354" width="9.08203125" style="157" customWidth="1"/>
    <col min="14355" max="14355" width="6.08203125" style="157" bestFit="1" customWidth="1"/>
    <col min="14356" max="14356" width="9.33203125" style="157" bestFit="1" customWidth="1"/>
    <col min="14357" max="14357" width="10.4140625" style="157" bestFit="1" customWidth="1"/>
    <col min="14358" max="14590" width="8.6640625" style="157"/>
    <col min="14591" max="14591" width="6.08203125" style="157" bestFit="1" customWidth="1"/>
    <col min="14592" max="14592" width="14.33203125" style="157" bestFit="1" customWidth="1"/>
    <col min="14593" max="14593" width="21.75" style="157" bestFit="1" customWidth="1"/>
    <col min="14594" max="14594" width="0" style="157" hidden="1" customWidth="1"/>
    <col min="14595" max="14595" width="16.4140625" style="157" bestFit="1" customWidth="1"/>
    <col min="14596" max="14596" width="14" style="157" bestFit="1" customWidth="1"/>
    <col min="14597" max="14597" width="15.4140625" style="157" bestFit="1" customWidth="1"/>
    <col min="14598" max="14598" width="9.75" style="157" bestFit="1" customWidth="1"/>
    <col min="14599" max="14599" width="8.75" style="157" bestFit="1" customWidth="1"/>
    <col min="14600" max="14600" width="11.4140625" style="157" bestFit="1" customWidth="1"/>
    <col min="14601" max="14601" width="10.4140625" style="157" bestFit="1" customWidth="1"/>
    <col min="14602" max="14602" width="11.4140625" style="157" bestFit="1" customWidth="1"/>
    <col min="14603" max="14603" width="12.4140625" style="157" bestFit="1" customWidth="1"/>
    <col min="14604" max="14604" width="9.08203125" style="157" bestFit="1" customWidth="1"/>
    <col min="14605" max="14605" width="12.4140625" style="157" bestFit="1" customWidth="1"/>
    <col min="14606" max="14606" width="16.4140625" style="157" bestFit="1" customWidth="1"/>
    <col min="14607" max="14607" width="13.75" style="157" bestFit="1" customWidth="1"/>
    <col min="14608" max="14608" width="8.58203125" style="157" bestFit="1" customWidth="1"/>
    <col min="14609" max="14609" width="6.58203125" style="157" bestFit="1" customWidth="1"/>
    <col min="14610" max="14610" width="9.08203125" style="157" customWidth="1"/>
    <col min="14611" max="14611" width="6.08203125" style="157" bestFit="1" customWidth="1"/>
    <col min="14612" max="14612" width="9.33203125" style="157" bestFit="1" customWidth="1"/>
    <col min="14613" max="14613" width="10.4140625" style="157" bestFit="1" customWidth="1"/>
    <col min="14614" max="14846" width="8.6640625" style="157"/>
    <col min="14847" max="14847" width="6.08203125" style="157" bestFit="1" customWidth="1"/>
    <col min="14848" max="14848" width="14.33203125" style="157" bestFit="1" customWidth="1"/>
    <col min="14849" max="14849" width="21.75" style="157" bestFit="1" customWidth="1"/>
    <col min="14850" max="14850" width="0" style="157" hidden="1" customWidth="1"/>
    <col min="14851" max="14851" width="16.4140625" style="157" bestFit="1" customWidth="1"/>
    <col min="14852" max="14852" width="14" style="157" bestFit="1" customWidth="1"/>
    <col min="14853" max="14853" width="15.4140625" style="157" bestFit="1" customWidth="1"/>
    <col min="14854" max="14854" width="9.75" style="157" bestFit="1" customWidth="1"/>
    <col min="14855" max="14855" width="8.75" style="157" bestFit="1" customWidth="1"/>
    <col min="14856" max="14856" width="11.4140625" style="157" bestFit="1" customWidth="1"/>
    <col min="14857" max="14857" width="10.4140625" style="157" bestFit="1" customWidth="1"/>
    <col min="14858" max="14858" width="11.4140625" style="157" bestFit="1" customWidth="1"/>
    <col min="14859" max="14859" width="12.4140625" style="157" bestFit="1" customWidth="1"/>
    <col min="14860" max="14860" width="9.08203125" style="157" bestFit="1" customWidth="1"/>
    <col min="14861" max="14861" width="12.4140625" style="157" bestFit="1" customWidth="1"/>
    <col min="14862" max="14862" width="16.4140625" style="157" bestFit="1" customWidth="1"/>
    <col min="14863" max="14863" width="13.75" style="157" bestFit="1" customWidth="1"/>
    <col min="14864" max="14864" width="8.58203125" style="157" bestFit="1" customWidth="1"/>
    <col min="14865" max="14865" width="6.58203125" style="157" bestFit="1" customWidth="1"/>
    <col min="14866" max="14866" width="9.08203125" style="157" customWidth="1"/>
    <col min="14867" max="14867" width="6.08203125" style="157" bestFit="1" customWidth="1"/>
    <col min="14868" max="14868" width="9.33203125" style="157" bestFit="1" customWidth="1"/>
    <col min="14869" max="14869" width="10.4140625" style="157" bestFit="1" customWidth="1"/>
    <col min="14870" max="15102" width="8.6640625" style="157"/>
    <col min="15103" max="15103" width="6.08203125" style="157" bestFit="1" customWidth="1"/>
    <col min="15104" max="15104" width="14.33203125" style="157" bestFit="1" customWidth="1"/>
    <col min="15105" max="15105" width="21.75" style="157" bestFit="1" customWidth="1"/>
    <col min="15106" max="15106" width="0" style="157" hidden="1" customWidth="1"/>
    <col min="15107" max="15107" width="16.4140625" style="157" bestFit="1" customWidth="1"/>
    <col min="15108" max="15108" width="14" style="157" bestFit="1" customWidth="1"/>
    <col min="15109" max="15109" width="15.4140625" style="157" bestFit="1" customWidth="1"/>
    <col min="15110" max="15110" width="9.75" style="157" bestFit="1" customWidth="1"/>
    <col min="15111" max="15111" width="8.75" style="157" bestFit="1" customWidth="1"/>
    <col min="15112" max="15112" width="11.4140625" style="157" bestFit="1" customWidth="1"/>
    <col min="15113" max="15113" width="10.4140625" style="157" bestFit="1" customWidth="1"/>
    <col min="15114" max="15114" width="11.4140625" style="157" bestFit="1" customWidth="1"/>
    <col min="15115" max="15115" width="12.4140625" style="157" bestFit="1" customWidth="1"/>
    <col min="15116" max="15116" width="9.08203125" style="157" bestFit="1" customWidth="1"/>
    <col min="15117" max="15117" width="12.4140625" style="157" bestFit="1" customWidth="1"/>
    <col min="15118" max="15118" width="16.4140625" style="157" bestFit="1" customWidth="1"/>
    <col min="15119" max="15119" width="13.75" style="157" bestFit="1" customWidth="1"/>
    <col min="15120" max="15120" width="8.58203125" style="157" bestFit="1" customWidth="1"/>
    <col min="15121" max="15121" width="6.58203125" style="157" bestFit="1" customWidth="1"/>
    <col min="15122" max="15122" width="9.08203125" style="157" customWidth="1"/>
    <col min="15123" max="15123" width="6.08203125" style="157" bestFit="1" customWidth="1"/>
    <col min="15124" max="15124" width="9.33203125" style="157" bestFit="1" customWidth="1"/>
    <col min="15125" max="15125" width="10.4140625" style="157" bestFit="1" customWidth="1"/>
    <col min="15126" max="15358" width="8.6640625" style="157"/>
    <col min="15359" max="15359" width="6.08203125" style="157" bestFit="1" customWidth="1"/>
    <col min="15360" max="15360" width="14.33203125" style="157" bestFit="1" customWidth="1"/>
    <col min="15361" max="15361" width="21.75" style="157" bestFit="1" customWidth="1"/>
    <col min="15362" max="15362" width="0" style="157" hidden="1" customWidth="1"/>
    <col min="15363" max="15363" width="16.4140625" style="157" bestFit="1" customWidth="1"/>
    <col min="15364" max="15364" width="14" style="157" bestFit="1" customWidth="1"/>
    <col min="15365" max="15365" width="15.4140625" style="157" bestFit="1" customWidth="1"/>
    <col min="15366" max="15366" width="9.75" style="157" bestFit="1" customWidth="1"/>
    <col min="15367" max="15367" width="8.75" style="157" bestFit="1" customWidth="1"/>
    <col min="15368" max="15368" width="11.4140625" style="157" bestFit="1" customWidth="1"/>
    <col min="15369" max="15369" width="10.4140625" style="157" bestFit="1" customWidth="1"/>
    <col min="15370" max="15370" width="11.4140625" style="157" bestFit="1" customWidth="1"/>
    <col min="15371" max="15371" width="12.4140625" style="157" bestFit="1" customWidth="1"/>
    <col min="15372" max="15372" width="9.08203125" style="157" bestFit="1" customWidth="1"/>
    <col min="15373" max="15373" width="12.4140625" style="157" bestFit="1" customWidth="1"/>
    <col min="15374" max="15374" width="16.4140625" style="157" bestFit="1" customWidth="1"/>
    <col min="15375" max="15375" width="13.75" style="157" bestFit="1" customWidth="1"/>
    <col min="15376" max="15376" width="8.58203125" style="157" bestFit="1" customWidth="1"/>
    <col min="15377" max="15377" width="6.58203125" style="157" bestFit="1" customWidth="1"/>
    <col min="15378" max="15378" width="9.08203125" style="157" customWidth="1"/>
    <col min="15379" max="15379" width="6.08203125" style="157" bestFit="1" customWidth="1"/>
    <col min="15380" max="15380" width="9.33203125" style="157" bestFit="1" customWidth="1"/>
    <col min="15381" max="15381" width="10.4140625" style="157" bestFit="1" customWidth="1"/>
    <col min="15382" max="15614" width="8.6640625" style="157"/>
    <col min="15615" max="15615" width="6.08203125" style="157" bestFit="1" customWidth="1"/>
    <col min="15616" max="15616" width="14.33203125" style="157" bestFit="1" customWidth="1"/>
    <col min="15617" max="15617" width="21.75" style="157" bestFit="1" customWidth="1"/>
    <col min="15618" max="15618" width="0" style="157" hidden="1" customWidth="1"/>
    <col min="15619" max="15619" width="16.4140625" style="157" bestFit="1" customWidth="1"/>
    <col min="15620" max="15620" width="14" style="157" bestFit="1" customWidth="1"/>
    <col min="15621" max="15621" width="15.4140625" style="157" bestFit="1" customWidth="1"/>
    <col min="15622" max="15622" width="9.75" style="157" bestFit="1" customWidth="1"/>
    <col min="15623" max="15623" width="8.75" style="157" bestFit="1" customWidth="1"/>
    <col min="15624" max="15624" width="11.4140625" style="157" bestFit="1" customWidth="1"/>
    <col min="15625" max="15625" width="10.4140625" style="157" bestFit="1" customWidth="1"/>
    <col min="15626" max="15626" width="11.4140625" style="157" bestFit="1" customWidth="1"/>
    <col min="15627" max="15627" width="12.4140625" style="157" bestFit="1" customWidth="1"/>
    <col min="15628" max="15628" width="9.08203125" style="157" bestFit="1" customWidth="1"/>
    <col min="15629" max="15629" width="12.4140625" style="157" bestFit="1" customWidth="1"/>
    <col min="15630" max="15630" width="16.4140625" style="157" bestFit="1" customWidth="1"/>
    <col min="15631" max="15631" width="13.75" style="157" bestFit="1" customWidth="1"/>
    <col min="15632" max="15632" width="8.58203125" style="157" bestFit="1" customWidth="1"/>
    <col min="15633" max="15633" width="6.58203125" style="157" bestFit="1" customWidth="1"/>
    <col min="15634" max="15634" width="9.08203125" style="157" customWidth="1"/>
    <col min="15635" max="15635" width="6.08203125" style="157" bestFit="1" customWidth="1"/>
    <col min="15636" max="15636" width="9.33203125" style="157" bestFit="1" customWidth="1"/>
    <col min="15637" max="15637" width="10.4140625" style="157" bestFit="1" customWidth="1"/>
    <col min="15638" max="15870" width="8.6640625" style="157"/>
    <col min="15871" max="15871" width="6.08203125" style="157" bestFit="1" customWidth="1"/>
    <col min="15872" max="15872" width="14.33203125" style="157" bestFit="1" customWidth="1"/>
    <col min="15873" max="15873" width="21.75" style="157" bestFit="1" customWidth="1"/>
    <col min="15874" max="15874" width="0" style="157" hidden="1" customWidth="1"/>
    <col min="15875" max="15875" width="16.4140625" style="157" bestFit="1" customWidth="1"/>
    <col min="15876" max="15876" width="14" style="157" bestFit="1" customWidth="1"/>
    <col min="15877" max="15877" width="15.4140625" style="157" bestFit="1" customWidth="1"/>
    <col min="15878" max="15878" width="9.75" style="157" bestFit="1" customWidth="1"/>
    <col min="15879" max="15879" width="8.75" style="157" bestFit="1" customWidth="1"/>
    <col min="15880" max="15880" width="11.4140625" style="157" bestFit="1" customWidth="1"/>
    <col min="15881" max="15881" width="10.4140625" style="157" bestFit="1" customWidth="1"/>
    <col min="15882" max="15882" width="11.4140625" style="157" bestFit="1" customWidth="1"/>
    <col min="15883" max="15883" width="12.4140625" style="157" bestFit="1" customWidth="1"/>
    <col min="15884" max="15884" width="9.08203125" style="157" bestFit="1" customWidth="1"/>
    <col min="15885" max="15885" width="12.4140625" style="157" bestFit="1" customWidth="1"/>
    <col min="15886" max="15886" width="16.4140625" style="157" bestFit="1" customWidth="1"/>
    <col min="15887" max="15887" width="13.75" style="157" bestFit="1" customWidth="1"/>
    <col min="15888" max="15888" width="8.58203125" style="157" bestFit="1" customWidth="1"/>
    <col min="15889" max="15889" width="6.58203125" style="157" bestFit="1" customWidth="1"/>
    <col min="15890" max="15890" width="9.08203125" style="157" customWidth="1"/>
    <col min="15891" max="15891" width="6.08203125" style="157" bestFit="1" customWidth="1"/>
    <col min="15892" max="15892" width="9.33203125" style="157" bestFit="1" customWidth="1"/>
    <col min="15893" max="15893" width="10.4140625" style="157" bestFit="1" customWidth="1"/>
    <col min="15894" max="16126" width="8.6640625" style="157"/>
    <col min="16127" max="16127" width="6.08203125" style="157" bestFit="1" customWidth="1"/>
    <col min="16128" max="16128" width="14.33203125" style="157" bestFit="1" customWidth="1"/>
    <col min="16129" max="16129" width="21.75" style="157" bestFit="1" customWidth="1"/>
    <col min="16130" max="16130" width="0" style="157" hidden="1" customWidth="1"/>
    <col min="16131" max="16131" width="16.4140625" style="157" bestFit="1" customWidth="1"/>
    <col min="16132" max="16132" width="14" style="157" bestFit="1" customWidth="1"/>
    <col min="16133" max="16133" width="15.4140625" style="157" bestFit="1" customWidth="1"/>
    <col min="16134" max="16134" width="9.75" style="157" bestFit="1" customWidth="1"/>
    <col min="16135" max="16135" width="8.75" style="157" bestFit="1" customWidth="1"/>
    <col min="16136" max="16136" width="11.4140625" style="157" bestFit="1" customWidth="1"/>
    <col min="16137" max="16137" width="10.4140625" style="157" bestFit="1" customWidth="1"/>
    <col min="16138" max="16138" width="11.4140625" style="157" bestFit="1" customWidth="1"/>
    <col min="16139" max="16139" width="12.4140625" style="157" bestFit="1" customWidth="1"/>
    <col min="16140" max="16140" width="9.08203125" style="157" bestFit="1" customWidth="1"/>
    <col min="16141" max="16141" width="12.4140625" style="157" bestFit="1" customWidth="1"/>
    <col min="16142" max="16142" width="16.4140625" style="157" bestFit="1" customWidth="1"/>
    <col min="16143" max="16143" width="13.75" style="157" bestFit="1" customWidth="1"/>
    <col min="16144" max="16144" width="8.58203125" style="157" bestFit="1" customWidth="1"/>
    <col min="16145" max="16145" width="6.58203125" style="157" bestFit="1" customWidth="1"/>
    <col min="16146" max="16146" width="9.08203125" style="157" customWidth="1"/>
    <col min="16147" max="16147" width="6.08203125" style="157" bestFit="1" customWidth="1"/>
    <col min="16148" max="16148" width="9.33203125" style="157" bestFit="1" customWidth="1"/>
    <col min="16149" max="16149" width="10.4140625" style="157" bestFit="1" customWidth="1"/>
    <col min="16150" max="16381" width="8.6640625" style="157"/>
    <col min="16382" max="16384" width="8.75" style="157" customWidth="1"/>
  </cols>
  <sheetData>
    <row r="1" spans="1:50" x14ac:dyDescent="0.25">
      <c r="A1" s="187">
        <v>1</v>
      </c>
      <c r="B1" s="187">
        <v>2</v>
      </c>
      <c r="C1" s="187">
        <v>3</v>
      </c>
      <c r="D1" s="220">
        <v>4</v>
      </c>
      <c r="E1" s="220">
        <v>5</v>
      </c>
      <c r="F1" s="220">
        <v>6</v>
      </c>
      <c r="G1" s="220">
        <v>7</v>
      </c>
      <c r="H1" s="187">
        <v>8</v>
      </c>
      <c r="I1" s="187">
        <v>9</v>
      </c>
      <c r="J1" s="213">
        <v>10</v>
      </c>
      <c r="K1" s="187">
        <v>11</v>
      </c>
      <c r="L1" s="187">
        <v>12</v>
      </c>
      <c r="M1" s="187">
        <v>13</v>
      </c>
      <c r="N1" s="213">
        <v>14</v>
      </c>
      <c r="O1" s="213">
        <v>15</v>
      </c>
      <c r="P1" s="213">
        <v>16</v>
      </c>
      <c r="Q1" s="213">
        <v>17</v>
      </c>
      <c r="R1" s="187">
        <v>18</v>
      </c>
      <c r="S1" s="187">
        <v>19</v>
      </c>
      <c r="T1" s="187">
        <v>20</v>
      </c>
      <c r="U1" s="187">
        <v>21</v>
      </c>
      <c r="V1" s="187">
        <v>22</v>
      </c>
      <c r="W1" s="187">
        <v>23</v>
      </c>
      <c r="X1" s="187">
        <v>24</v>
      </c>
      <c r="Y1" s="220">
        <v>25</v>
      </c>
      <c r="Z1" s="220">
        <v>26</v>
      </c>
      <c r="AB1" s="180" t="s">
        <v>609</v>
      </c>
      <c r="AC1" s="180"/>
      <c r="AD1" s="180"/>
      <c r="AE1" s="180"/>
      <c r="AF1" s="183"/>
      <c r="AG1" s="183"/>
      <c r="AH1" s="183"/>
      <c r="AI1" s="183"/>
      <c r="AJ1" s="183"/>
      <c r="AK1" s="183"/>
      <c r="AL1" s="183"/>
      <c r="AM1" s="183"/>
      <c r="AN1" s="183"/>
      <c r="AO1" s="183"/>
      <c r="AP1" s="183"/>
      <c r="AQ1" s="183"/>
      <c r="AR1" s="183"/>
      <c r="AS1" s="183"/>
      <c r="AT1" s="183"/>
      <c r="AU1" s="183"/>
      <c r="AV1" s="340"/>
      <c r="AW1" s="341"/>
      <c r="AX1" s="341"/>
    </row>
    <row r="2" spans="1:50" s="154" customFormat="1" ht="50.5" x14ac:dyDescent="0.3">
      <c r="A2" s="188" t="s">
        <v>73</v>
      </c>
      <c r="B2" s="188" t="s">
        <v>74</v>
      </c>
      <c r="C2" s="188" t="s">
        <v>75</v>
      </c>
      <c r="D2" s="342" t="s">
        <v>586</v>
      </c>
      <c r="E2" s="342" t="s">
        <v>587</v>
      </c>
      <c r="F2" s="342" t="s">
        <v>588</v>
      </c>
      <c r="G2" s="342" t="s">
        <v>589</v>
      </c>
      <c r="H2" s="343" t="s">
        <v>590</v>
      </c>
      <c r="I2" s="343" t="s">
        <v>591</v>
      </c>
      <c r="J2" s="314" t="s">
        <v>592</v>
      </c>
      <c r="K2" s="190" t="s">
        <v>593</v>
      </c>
      <c r="L2" s="190" t="s">
        <v>594</v>
      </c>
      <c r="M2" s="190" t="s">
        <v>595</v>
      </c>
      <c r="N2" s="314" t="s">
        <v>596</v>
      </c>
      <c r="O2" s="314" t="s">
        <v>597</v>
      </c>
      <c r="P2" s="314" t="s">
        <v>598</v>
      </c>
      <c r="Q2" s="344" t="s">
        <v>599</v>
      </c>
      <c r="R2" s="191" t="s">
        <v>600</v>
      </c>
      <c r="S2" s="191" t="s">
        <v>601</v>
      </c>
      <c r="T2" s="192" t="s">
        <v>602</v>
      </c>
      <c r="U2" s="193" t="s">
        <v>610</v>
      </c>
      <c r="V2" s="192" t="s">
        <v>604</v>
      </c>
      <c r="W2" s="192" t="s">
        <v>605</v>
      </c>
      <c r="X2" s="189" t="s">
        <v>611</v>
      </c>
      <c r="Y2" s="345" t="s">
        <v>612</v>
      </c>
      <c r="Z2" s="345" t="s">
        <v>613</v>
      </c>
      <c r="AB2" s="181" t="str">
        <f t="shared" ref="AB2:AX2" si="0">+D2</f>
        <v>GROSS ASSESSED VALUATION</v>
      </c>
      <c r="AC2" s="181" t="str">
        <f t="shared" si="0"/>
        <v>TIF</v>
      </c>
      <c r="AD2" s="181" t="str">
        <f t="shared" si="0"/>
        <v>NET ASSESSED VALUATION</v>
      </c>
      <c r="AE2" s="181" t="str">
        <f t="shared" si="0"/>
        <v xml:space="preserve"> ABATE AMOUNT</v>
      </c>
      <c r="AF2" s="184" t="str">
        <f t="shared" si="0"/>
        <v>Mill Levy per HB20-1418</v>
      </c>
      <c r="AG2" s="184" t="str">
        <f t="shared" si="0"/>
        <v>Remaining Tax Credit</v>
      </c>
      <c r="AH2" s="184" t="str">
        <f t="shared" si="0"/>
        <v>GENERAL FUND MILL</v>
      </c>
      <c r="AI2" s="184" t="str">
        <f t="shared" si="0"/>
        <v>CATEGORICAL</v>
      </c>
      <c r="AJ2" s="184" t="str">
        <f t="shared" si="0"/>
        <v>Total Prog Reserve</v>
      </c>
      <c r="AK2" s="184" t="str">
        <f t="shared" si="0"/>
        <v>HOLD HARMLESS OVERRIDE</v>
      </c>
      <c r="AL2" s="184" t="str">
        <f t="shared" si="0"/>
        <v>EXCESS OVERRIDE</v>
      </c>
      <c r="AM2" s="184" t="str">
        <f t="shared" si="0"/>
        <v>VOTER APPROVED OVERRIDE</v>
      </c>
      <c r="AN2" s="184" t="str">
        <f t="shared" si="0"/>
        <v>ABATEMENT mill</v>
      </c>
      <c r="AO2" s="184" t="str">
        <f t="shared" si="0"/>
        <v>TOTAL MILLS</v>
      </c>
      <c r="AP2" s="184" t="str">
        <f t="shared" si="0"/>
        <v>BOND</v>
      </c>
      <c r="AQ2" s="184" t="str">
        <f t="shared" si="0"/>
        <v>TRANSP</v>
      </c>
      <c r="AR2" s="184" t="str">
        <f t="shared" si="0"/>
        <v>SPEC BLDG</v>
      </c>
      <c r="AS2" s="184" t="str">
        <f t="shared" si="0"/>
        <v>Suppl. Cap Constr, Tech, Def Maint</v>
      </c>
      <c r="AT2" s="184" t="str">
        <f t="shared" si="0"/>
        <v>Other</v>
      </c>
      <c r="AU2" s="184" t="str">
        <f t="shared" si="0"/>
        <v>Total Mills</v>
      </c>
      <c r="AV2" s="346" t="str">
        <f t="shared" si="0"/>
        <v>FULL TOTAL PROGRAM MILL (ML2)</v>
      </c>
      <c r="AW2" s="347" t="str">
        <f t="shared" si="0"/>
        <v>TOTAL PRG (GT1)</v>
      </c>
      <c r="AX2" s="347" t="str">
        <f t="shared" si="0"/>
        <v>STATE SHARE FUND (GT4)</v>
      </c>
    </row>
    <row r="3" spans="1:50" s="154" customFormat="1" ht="14.5" x14ac:dyDescent="0.35">
      <c r="A3" s="187" t="s">
        <v>76</v>
      </c>
      <c r="B3" s="187" t="s">
        <v>77</v>
      </c>
      <c r="C3" s="194" t="s">
        <v>78</v>
      </c>
      <c r="D3" s="315">
        <v>1252217540</v>
      </c>
      <c r="E3" s="315">
        <v>31065779</v>
      </c>
      <c r="F3" s="315">
        <v>1221151761</v>
      </c>
      <c r="G3" s="315">
        <v>210550.34</v>
      </c>
      <c r="H3" s="348">
        <v>27</v>
      </c>
      <c r="I3" s="348">
        <v>0</v>
      </c>
      <c r="J3" s="210">
        <f t="shared" ref="J3:J39" si="1">+H3-I3</f>
        <v>27</v>
      </c>
      <c r="K3" s="185">
        <v>0</v>
      </c>
      <c r="L3" s="197">
        <v>0</v>
      </c>
      <c r="M3" s="185">
        <v>0.17300000000000001</v>
      </c>
      <c r="N3" s="210">
        <v>0</v>
      </c>
      <c r="O3" s="316">
        <v>3.7810000000000001</v>
      </c>
      <c r="P3" s="211">
        <f t="shared" ref="P3:P66" si="2">+G3/F3*1000</f>
        <v>0.17241947047398967</v>
      </c>
      <c r="Q3" s="317">
        <f>SUM(J3:P3)</f>
        <v>31.126419470473987</v>
      </c>
      <c r="R3" s="196"/>
      <c r="S3" s="196"/>
      <c r="T3" s="196"/>
      <c r="U3" s="196"/>
      <c r="V3" s="196"/>
      <c r="W3" s="196">
        <f>Q3+(SUM(R3:V3))</f>
        <v>31.126419470473987</v>
      </c>
      <c r="X3" s="185">
        <v>58.731000000000002</v>
      </c>
      <c r="Y3" s="220">
        <v>73698347.109999999</v>
      </c>
      <c r="Z3" s="220">
        <v>39194701.924399994</v>
      </c>
      <c r="AB3" s="161">
        <f>+D3-'[2]Data FY23-24 Final'!D3</f>
        <v>20015030</v>
      </c>
      <c r="AC3" s="161">
        <f>+E3-'[2]Data FY23-24 Final'!E3</f>
        <v>-181741</v>
      </c>
      <c r="AD3" s="161">
        <f>+F3-'[2]Data FY23-24 Final'!F3</f>
        <v>20196771</v>
      </c>
      <c r="AE3" s="161">
        <f>+G3-'[2]Data FY23-24 Final'!G3</f>
        <v>50865.679999999993</v>
      </c>
      <c r="AF3" s="186">
        <f>+H3-'[2]Data FY23-24 Final'!H3</f>
        <v>0</v>
      </c>
      <c r="AG3" s="186">
        <f>+I3-'[2]Data FY23-24 Final'!I3</f>
        <v>0</v>
      </c>
      <c r="AH3" s="186">
        <f>+J3-'[2]Data FY23-24 Final'!J3</f>
        <v>0</v>
      </c>
      <c r="AI3" s="186">
        <f>+K3-'[2]Data FY23-24 Final'!K3</f>
        <v>0</v>
      </c>
      <c r="AJ3" s="186">
        <f>+L3-'[2]Data FY23-24 Final'!L3</f>
        <v>0</v>
      </c>
      <c r="AK3" s="186">
        <f>+M3-'[2]Data FY23-24 Final'!M3</f>
        <v>-4.9999999999999767E-3</v>
      </c>
      <c r="AL3" s="186">
        <f>+N3-'[2]Data FY23-24 Final'!N3</f>
        <v>0</v>
      </c>
      <c r="AM3" s="186">
        <f>+O3-'[2]Data FY23-24 Final'!O3</f>
        <v>-11.382999999999999</v>
      </c>
      <c r="AN3" s="186">
        <f>+P3-'[2]Data FY23-24 Final'!P3</f>
        <v>3.9419470473989665E-2</v>
      </c>
      <c r="AO3" s="186">
        <f>+Q3-'[2]Data FY23-24 Final'!Q3</f>
        <v>-11.348580529526014</v>
      </c>
      <c r="AP3" s="186">
        <f>+R3-'[2]Data FY23-24 Final'!R3</f>
        <v>-10.079000000000001</v>
      </c>
      <c r="AQ3" s="186">
        <f>+S3-'[2]Data FY23-24 Final'!S3</f>
        <v>0</v>
      </c>
      <c r="AR3" s="186">
        <f>+T3-'[2]Data FY23-24 Final'!T3</f>
        <v>0</v>
      </c>
      <c r="AS3" s="186">
        <f>+U3-'[2]Data FY23-24 Final'!U3</f>
        <v>0</v>
      </c>
      <c r="AT3" s="186">
        <f>+V3-'[2]Data FY23-24 Final'!V3</f>
        <v>0</v>
      </c>
      <c r="AU3" s="186">
        <f>+W3-'[2]Data FY23-24 Final'!W3</f>
        <v>-21.427580529526015</v>
      </c>
      <c r="AV3" s="186">
        <f>+X3-'[2]Data FY23-24 Final'!X3</f>
        <v>1.0000000000047748E-3</v>
      </c>
      <c r="AW3" s="161">
        <f>+Y3-'[2]Data FY23-24 Final'!Y3</f>
        <v>882330.06000000238</v>
      </c>
      <c r="AX3" s="161">
        <f>+Z3-'[2]Data FY23-24 Final'!Z3</f>
        <v>330247.64440000057</v>
      </c>
    </row>
    <row r="4" spans="1:50" s="154" customFormat="1" ht="14.5" x14ac:dyDescent="0.35">
      <c r="A4" s="187" t="s">
        <v>79</v>
      </c>
      <c r="B4" s="187" t="s">
        <v>77</v>
      </c>
      <c r="C4" s="194" t="s">
        <v>80</v>
      </c>
      <c r="D4" s="315">
        <v>4620562450</v>
      </c>
      <c r="E4" s="315">
        <v>489662407</v>
      </c>
      <c r="F4" s="315">
        <v>4130900043</v>
      </c>
      <c r="G4" s="315">
        <v>1125676.67</v>
      </c>
      <c r="H4" s="348">
        <v>27</v>
      </c>
      <c r="I4" s="348">
        <v>0</v>
      </c>
      <c r="J4" s="210">
        <f t="shared" si="1"/>
        <v>27</v>
      </c>
      <c r="K4" s="185">
        <v>0</v>
      </c>
      <c r="L4" s="197">
        <v>0</v>
      </c>
      <c r="M4" s="185">
        <v>0</v>
      </c>
      <c r="N4" s="210">
        <v>0</v>
      </c>
      <c r="O4" s="316">
        <v>14.17</v>
      </c>
      <c r="P4" s="211">
        <f t="shared" si="2"/>
        <v>0.27250155130417902</v>
      </c>
      <c r="Q4" s="317">
        <f t="shared" ref="Q4:Q67" si="3">SUM(J4:P4)</f>
        <v>41.442501551304183</v>
      </c>
      <c r="R4" s="196"/>
      <c r="S4" s="196"/>
      <c r="T4" s="196"/>
      <c r="U4" s="196"/>
      <c r="V4" s="196"/>
      <c r="W4" s="196">
        <f t="shared" ref="W4:W67" si="4">Q4+(SUM(R4:V4))</f>
        <v>41.442501551304183</v>
      </c>
      <c r="X4" s="185">
        <v>94.312999999999988</v>
      </c>
      <c r="Y4" s="220">
        <v>428726738.31999999</v>
      </c>
      <c r="Z4" s="220">
        <v>302383464.96509999</v>
      </c>
      <c r="AB4" s="161">
        <f>+D4-'[2]Data FY23-24 Final'!D4</f>
        <v>-130582450</v>
      </c>
      <c r="AC4" s="161">
        <f>+E4-'[2]Data FY23-24 Final'!E4</f>
        <v>-17201029</v>
      </c>
      <c r="AD4" s="161">
        <f>+F4-'[2]Data FY23-24 Final'!F4</f>
        <v>-113381421</v>
      </c>
      <c r="AE4" s="161">
        <f>+G4-'[2]Data FY23-24 Final'!G4</f>
        <v>1125676.67</v>
      </c>
      <c r="AF4" s="186">
        <f>+H4-'[2]Data FY23-24 Final'!H4</f>
        <v>0</v>
      </c>
      <c r="AG4" s="186">
        <f>+I4-'[2]Data FY23-24 Final'!I4</f>
        <v>0</v>
      </c>
      <c r="AH4" s="186">
        <f>+J4-'[2]Data FY23-24 Final'!J4</f>
        <v>0</v>
      </c>
      <c r="AI4" s="186">
        <f>+K4-'[2]Data FY23-24 Final'!K4</f>
        <v>0</v>
      </c>
      <c r="AJ4" s="186">
        <f>+L4-'[2]Data FY23-24 Final'!L4</f>
        <v>0</v>
      </c>
      <c r="AK4" s="186">
        <f>+M4-'[2]Data FY23-24 Final'!M4</f>
        <v>0</v>
      </c>
      <c r="AL4" s="186">
        <f>+N4-'[2]Data FY23-24 Final'!N4</f>
        <v>0</v>
      </c>
      <c r="AM4" s="186">
        <f>+O4-'[2]Data FY23-24 Final'!O4</f>
        <v>-1.7609999999999992</v>
      </c>
      <c r="AN4" s="186">
        <f>+P4-'[2]Data FY23-24 Final'!P4</f>
        <v>0.10850155130417902</v>
      </c>
      <c r="AO4" s="186">
        <f>+Q4-'[2]Data FY23-24 Final'!Q4</f>
        <v>-1.6524984486958161</v>
      </c>
      <c r="AP4" s="186">
        <f>+R4-'[2]Data FY23-24 Final'!R4</f>
        <v>-18.664999999999999</v>
      </c>
      <c r="AQ4" s="186">
        <f>+S4-'[2]Data FY23-24 Final'!S4</f>
        <v>0</v>
      </c>
      <c r="AR4" s="186">
        <f>+T4-'[2]Data FY23-24 Final'!T4</f>
        <v>0</v>
      </c>
      <c r="AS4" s="186">
        <f>+U4-'[2]Data FY23-24 Final'!U4</f>
        <v>0</v>
      </c>
      <c r="AT4" s="186">
        <f>+V4-'[2]Data FY23-24 Final'!V4</f>
        <v>0</v>
      </c>
      <c r="AU4" s="186">
        <f>+W4-'[2]Data FY23-24 Final'!W4</f>
        <v>-20.317498448695815</v>
      </c>
      <c r="AV4" s="186">
        <f>+X4-'[2]Data FY23-24 Final'!X4</f>
        <v>0</v>
      </c>
      <c r="AW4" s="161">
        <f>+Y4-'[2]Data FY23-24 Final'!Y4</f>
        <v>54578501.560224831</v>
      </c>
      <c r="AX4" s="161">
        <f>+Z4-'[2]Data FY23-24 Final'!Z4</f>
        <v>48551046.84332481</v>
      </c>
    </row>
    <row r="5" spans="1:50" s="154" customFormat="1" ht="13" x14ac:dyDescent="0.3">
      <c r="A5" s="187" t="s">
        <v>81</v>
      </c>
      <c r="B5" s="187" t="s">
        <v>77</v>
      </c>
      <c r="C5" s="194" t="s">
        <v>82</v>
      </c>
      <c r="D5" s="349">
        <v>1259798150</v>
      </c>
      <c r="E5" s="349">
        <v>10756010</v>
      </c>
      <c r="F5" s="349">
        <v>1249042140</v>
      </c>
      <c r="G5" s="350">
        <v>196258.99</v>
      </c>
      <c r="H5" s="348">
        <v>27</v>
      </c>
      <c r="I5" s="348">
        <v>0</v>
      </c>
      <c r="J5" s="210">
        <f t="shared" si="1"/>
        <v>27</v>
      </c>
      <c r="K5" s="185">
        <v>0</v>
      </c>
      <c r="L5" s="197">
        <v>0</v>
      </c>
      <c r="M5" s="185">
        <v>0</v>
      </c>
      <c r="N5" s="210">
        <v>0</v>
      </c>
      <c r="O5" s="316">
        <v>3.847</v>
      </c>
      <c r="P5" s="211">
        <f t="shared" si="2"/>
        <v>0.15712759699204384</v>
      </c>
      <c r="Q5" s="317">
        <f t="shared" si="3"/>
        <v>31.004127596992046</v>
      </c>
      <c r="R5" s="196"/>
      <c r="S5" s="196"/>
      <c r="T5" s="196"/>
      <c r="U5" s="196"/>
      <c r="V5" s="196"/>
      <c r="W5" s="196">
        <f t="shared" si="4"/>
        <v>31.004127596992046</v>
      </c>
      <c r="X5" s="185">
        <v>54.253999999999998</v>
      </c>
      <c r="Y5" s="220">
        <v>70408109.950000003</v>
      </c>
      <c r="Z5" s="220">
        <v>34647506.811000004</v>
      </c>
      <c r="AB5" s="161">
        <f>+D5-'[2]Data FY23-24 Final'!D5</f>
        <v>15403770</v>
      </c>
      <c r="AC5" s="161">
        <f>+E5-'[2]Data FY23-24 Final'!E5</f>
        <v>611270</v>
      </c>
      <c r="AD5" s="161">
        <f>+F5-'[2]Data FY23-24 Final'!F5</f>
        <v>14792500</v>
      </c>
      <c r="AE5" s="161">
        <f>+G5-'[2]Data FY23-24 Final'!G5</f>
        <v>140809.99</v>
      </c>
      <c r="AF5" s="186">
        <f>+H5-'[2]Data FY23-24 Final'!H5</f>
        <v>0</v>
      </c>
      <c r="AG5" s="186">
        <f>+I5-'[2]Data FY23-24 Final'!I5</f>
        <v>0</v>
      </c>
      <c r="AH5" s="186">
        <f>+J5-'[2]Data FY23-24 Final'!J5</f>
        <v>0</v>
      </c>
      <c r="AI5" s="186">
        <f>+K5-'[2]Data FY23-24 Final'!K5</f>
        <v>0</v>
      </c>
      <c r="AJ5" s="186">
        <f>+L5-'[2]Data FY23-24 Final'!L5</f>
        <v>0</v>
      </c>
      <c r="AK5" s="186">
        <f>+M5-'[2]Data FY23-24 Final'!M5</f>
        <v>0</v>
      </c>
      <c r="AL5" s="186">
        <f>+N5-'[2]Data FY23-24 Final'!N5</f>
        <v>0</v>
      </c>
      <c r="AM5" s="186">
        <f>+O5-'[2]Data FY23-24 Final'!O5</f>
        <v>-0.11500000000000021</v>
      </c>
      <c r="AN5" s="186">
        <f>+P5-'[2]Data FY23-24 Final'!P5</f>
        <v>0.11212759699204385</v>
      </c>
      <c r="AO5" s="186">
        <f>+Q5-'[2]Data FY23-24 Final'!Q5</f>
        <v>-2.8724030079558815E-3</v>
      </c>
      <c r="AP5" s="186">
        <f>+R5-'[2]Data FY23-24 Final'!R5</f>
        <v>-6.0679999999999996</v>
      </c>
      <c r="AQ5" s="186">
        <f>+S5-'[2]Data FY23-24 Final'!S5</f>
        <v>0</v>
      </c>
      <c r="AR5" s="186">
        <f>+T5-'[2]Data FY23-24 Final'!T5</f>
        <v>0</v>
      </c>
      <c r="AS5" s="186">
        <f>+U5-'[2]Data FY23-24 Final'!U5</f>
        <v>0</v>
      </c>
      <c r="AT5" s="186">
        <f>+V5-'[2]Data FY23-24 Final'!V5</f>
        <v>0</v>
      </c>
      <c r="AU5" s="186">
        <f>+W5-'[2]Data FY23-24 Final'!W5</f>
        <v>-6.0708724030079573</v>
      </c>
      <c r="AV5" s="186">
        <f>+X5-'[2]Data FY23-24 Final'!X5</f>
        <v>0</v>
      </c>
      <c r="AW5" s="161">
        <f>+Y5-'[2]Data FY23-24 Final'!Y5</f>
        <v>8183519.1819999963</v>
      </c>
      <c r="AX5" s="161">
        <f>+Z5-'[2]Data FY23-24 Final'!Z5</f>
        <v>7108879.112999998</v>
      </c>
    </row>
    <row r="6" spans="1:50" s="154" customFormat="1" ht="13" x14ac:dyDescent="0.3">
      <c r="A6" s="187" t="s">
        <v>83</v>
      </c>
      <c r="B6" s="187" t="s">
        <v>77</v>
      </c>
      <c r="C6" s="194" t="s">
        <v>84</v>
      </c>
      <c r="D6" s="349">
        <v>3500120270</v>
      </c>
      <c r="E6" s="349">
        <v>281124974</v>
      </c>
      <c r="F6" s="349">
        <v>1343922.46</v>
      </c>
      <c r="G6" s="350">
        <v>1371501.77</v>
      </c>
      <c r="H6" s="348">
        <v>27</v>
      </c>
      <c r="I6" s="348">
        <v>0</v>
      </c>
      <c r="J6" s="210">
        <f t="shared" si="1"/>
        <v>27</v>
      </c>
      <c r="K6" s="185">
        <v>0</v>
      </c>
      <c r="L6" s="197">
        <v>0</v>
      </c>
      <c r="M6" s="185">
        <v>0</v>
      </c>
      <c r="N6" s="210">
        <v>0</v>
      </c>
      <c r="O6" s="316">
        <v>0.22900000000000001</v>
      </c>
      <c r="P6" s="211">
        <f t="shared" si="2"/>
        <v>1020.521503896884</v>
      </c>
      <c r="Q6" s="317">
        <f t="shared" si="3"/>
        <v>1047.7505038968841</v>
      </c>
      <c r="R6" s="196"/>
      <c r="S6" s="196"/>
      <c r="T6" s="196"/>
      <c r="U6" s="196"/>
      <c r="V6" s="196"/>
      <c r="W6" s="196">
        <f t="shared" si="4"/>
        <v>1047.7505038968841</v>
      </c>
      <c r="X6" s="185">
        <v>73.143000000000001</v>
      </c>
      <c r="Y6" s="220">
        <v>242026466.53</v>
      </c>
      <c r="Z6" s="220">
        <v>151154517.09559998</v>
      </c>
      <c r="AB6" s="161">
        <f>+D6-'[2]Data FY23-24 Final'!D6</f>
        <v>69589560</v>
      </c>
      <c r="AC6" s="161">
        <f>+E6-'[2]Data FY23-24 Final'!E6</f>
        <v>-124358207</v>
      </c>
      <c r="AD6" s="161">
        <f>+F6-'[2]Data FY23-24 Final'!F6</f>
        <v>-3023703606.54</v>
      </c>
      <c r="AE6" s="161">
        <f>+G6-'[2]Data FY23-24 Final'!G6</f>
        <v>1196223.6400000001</v>
      </c>
      <c r="AF6" s="186">
        <f>+H6-'[2]Data FY23-24 Final'!H6</f>
        <v>0</v>
      </c>
      <c r="AG6" s="186">
        <f>+I6-'[2]Data FY23-24 Final'!I6</f>
        <v>0</v>
      </c>
      <c r="AH6" s="186">
        <f>+J6-'[2]Data FY23-24 Final'!J6</f>
        <v>0</v>
      </c>
      <c r="AI6" s="186">
        <f>+K6-'[2]Data FY23-24 Final'!K6</f>
        <v>0</v>
      </c>
      <c r="AJ6" s="186">
        <f>+L6-'[2]Data FY23-24 Final'!L6</f>
        <v>0</v>
      </c>
      <c r="AK6" s="186">
        <f>+M6-'[2]Data FY23-24 Final'!M6</f>
        <v>0</v>
      </c>
      <c r="AL6" s="186">
        <f>+N6-'[2]Data FY23-24 Final'!N6</f>
        <v>0</v>
      </c>
      <c r="AM6" s="186">
        <f>+O6-'[2]Data FY23-24 Final'!O6</f>
        <v>-8.0190000000000001</v>
      </c>
      <c r="AN6" s="186">
        <f>+P6-'[2]Data FY23-24 Final'!P6</f>
        <v>1020.463503896884</v>
      </c>
      <c r="AO6" s="186">
        <f>+Q6-'[2]Data FY23-24 Final'!Q6</f>
        <v>1012.444503896884</v>
      </c>
      <c r="AP6" s="186">
        <f>+R6-'[2]Data FY23-24 Final'!R6</f>
        <v>-20.984000000000002</v>
      </c>
      <c r="AQ6" s="186">
        <f>+S6-'[2]Data FY23-24 Final'!S6</f>
        <v>0</v>
      </c>
      <c r="AR6" s="186">
        <f>+T6-'[2]Data FY23-24 Final'!T6</f>
        <v>0</v>
      </c>
      <c r="AS6" s="186">
        <f>+U6-'[2]Data FY23-24 Final'!U6</f>
        <v>0</v>
      </c>
      <c r="AT6" s="186">
        <f>+V6-'[2]Data FY23-24 Final'!V6</f>
        <v>0</v>
      </c>
      <c r="AU6" s="186">
        <f>+W6-'[2]Data FY23-24 Final'!W6</f>
        <v>991.46050389688412</v>
      </c>
      <c r="AV6" s="186">
        <f>+X6-'[2]Data FY23-24 Final'!X6</f>
        <v>0</v>
      </c>
      <c r="AW6" s="161">
        <f>+Y6-'[2]Data FY23-24 Final'!Y6</f>
        <v>9746833.2960000038</v>
      </c>
      <c r="AX6" s="161">
        <f>+Z6-'[2]Data FY23-24 Final'!Z6</f>
        <v>2611763.2745999694</v>
      </c>
    </row>
    <row r="7" spans="1:50" s="154" customFormat="1" ht="13" x14ac:dyDescent="0.3">
      <c r="A7" s="187" t="s">
        <v>85</v>
      </c>
      <c r="B7" s="187" t="s">
        <v>77</v>
      </c>
      <c r="C7" s="194" t="s">
        <v>86</v>
      </c>
      <c r="D7" s="349">
        <v>457771826</v>
      </c>
      <c r="E7" s="349">
        <v>0</v>
      </c>
      <c r="F7" s="349">
        <v>457771826</v>
      </c>
      <c r="G7" s="350">
        <v>28857.57</v>
      </c>
      <c r="H7" s="348">
        <v>25.265000000000001</v>
      </c>
      <c r="I7" s="348">
        <v>0</v>
      </c>
      <c r="J7" s="210">
        <f t="shared" si="1"/>
        <v>25.265000000000001</v>
      </c>
      <c r="K7" s="185">
        <v>0</v>
      </c>
      <c r="L7" s="197">
        <v>0</v>
      </c>
      <c r="M7" s="185">
        <v>0</v>
      </c>
      <c r="N7" s="210">
        <v>0</v>
      </c>
      <c r="O7" s="316">
        <v>2.2790000000000004</v>
      </c>
      <c r="P7" s="211">
        <f t="shared" si="2"/>
        <v>6.3039200669374532E-2</v>
      </c>
      <c r="Q7" s="317">
        <f t="shared" si="3"/>
        <v>27.607039200669377</v>
      </c>
      <c r="R7" s="196"/>
      <c r="S7" s="196"/>
      <c r="T7" s="196"/>
      <c r="U7" s="196"/>
      <c r="V7" s="196"/>
      <c r="W7" s="196">
        <f t="shared" si="4"/>
        <v>27.607039200669377</v>
      </c>
      <c r="X7" s="185">
        <v>26.891999999999999</v>
      </c>
      <c r="Y7" s="220">
        <v>14621610.439999999</v>
      </c>
      <c r="Z7" s="220">
        <v>856810.9352700006</v>
      </c>
      <c r="AB7" s="161">
        <f>+D7-'[2]Data FY23-24 Final'!D7</f>
        <v>-57840150</v>
      </c>
      <c r="AC7" s="161">
        <f>+E7-'[2]Data FY23-24 Final'!E7</f>
        <v>0</v>
      </c>
      <c r="AD7" s="161">
        <f>+F7-'[2]Data FY23-24 Final'!F7</f>
        <v>-57840150</v>
      </c>
      <c r="AE7" s="161">
        <f>+G7-'[2]Data FY23-24 Final'!G7</f>
        <v>24623.57</v>
      </c>
      <c r="AF7" s="186">
        <f>+H7-'[2]Data FY23-24 Final'!H7</f>
        <v>0</v>
      </c>
      <c r="AG7" s="186">
        <f>+I7-'[2]Data FY23-24 Final'!I7</f>
        <v>0</v>
      </c>
      <c r="AH7" s="186">
        <f>+J7-'[2]Data FY23-24 Final'!J7</f>
        <v>0</v>
      </c>
      <c r="AI7" s="186">
        <f>+K7-'[2]Data FY23-24 Final'!K7</f>
        <v>0</v>
      </c>
      <c r="AJ7" s="186">
        <f>+L7-'[2]Data FY23-24 Final'!L7</f>
        <v>0</v>
      </c>
      <c r="AK7" s="186">
        <f>+M7-'[2]Data FY23-24 Final'!M7</f>
        <v>0</v>
      </c>
      <c r="AL7" s="186">
        <f>+N7-'[2]Data FY23-24 Final'!N7</f>
        <v>0</v>
      </c>
      <c r="AM7" s="186">
        <f>+O7-'[2]Data FY23-24 Final'!O7</f>
        <v>2.2790000000000004</v>
      </c>
      <c r="AN7" s="186">
        <f>+P7-'[2]Data FY23-24 Final'!P7</f>
        <v>4.5039200669374529E-2</v>
      </c>
      <c r="AO7" s="186">
        <f>+Q7-'[2]Data FY23-24 Final'!Q7</f>
        <v>2.3240392006693753</v>
      </c>
      <c r="AP7" s="186">
        <f>+R7-'[2]Data FY23-24 Final'!R7</f>
        <v>0</v>
      </c>
      <c r="AQ7" s="186">
        <f>+S7-'[2]Data FY23-24 Final'!S7</f>
        <v>0</v>
      </c>
      <c r="AR7" s="186">
        <f>+T7-'[2]Data FY23-24 Final'!T7</f>
        <v>0</v>
      </c>
      <c r="AS7" s="186">
        <f>+U7-'[2]Data FY23-24 Final'!U7</f>
        <v>0</v>
      </c>
      <c r="AT7" s="186">
        <f>+V7-'[2]Data FY23-24 Final'!V7</f>
        <v>0</v>
      </c>
      <c r="AU7" s="186">
        <f>+W7-'[2]Data FY23-24 Final'!W7</f>
        <v>2.3240392006693753</v>
      </c>
      <c r="AV7" s="186">
        <f>+X7-'[2]Data FY23-24 Final'!X7</f>
        <v>0</v>
      </c>
      <c r="AW7" s="161">
        <f>+Y7-'[2]Data FY23-24 Final'!Y7</f>
        <v>-2460102.6199999992</v>
      </c>
      <c r="AX7" s="161">
        <f>+Z7-'[2]Data FY23-24 Final'!Z7</f>
        <v>-2793721.9510899978</v>
      </c>
    </row>
    <row r="8" spans="1:50" s="154" customFormat="1" ht="13" x14ac:dyDescent="0.3">
      <c r="A8" s="187" t="s">
        <v>87</v>
      </c>
      <c r="B8" s="187" t="s">
        <v>77</v>
      </c>
      <c r="C8" s="194" t="s">
        <v>88</v>
      </c>
      <c r="D8" s="349">
        <v>131063217</v>
      </c>
      <c r="E8" s="349">
        <v>0</v>
      </c>
      <c r="F8" s="349">
        <v>132063217</v>
      </c>
      <c r="G8" s="350">
        <v>1349.49</v>
      </c>
      <c r="H8" s="348">
        <v>27</v>
      </c>
      <c r="I8" s="348">
        <v>0</v>
      </c>
      <c r="J8" s="210">
        <f t="shared" si="1"/>
        <v>27</v>
      </c>
      <c r="K8" s="185">
        <v>0</v>
      </c>
      <c r="L8" s="197">
        <v>0</v>
      </c>
      <c r="M8" s="185">
        <v>0</v>
      </c>
      <c r="N8" s="210">
        <v>0</v>
      </c>
      <c r="O8" s="316">
        <v>2.1840000000000002</v>
      </c>
      <c r="P8" s="211">
        <f t="shared" si="2"/>
        <v>1.0218515273635959E-2</v>
      </c>
      <c r="Q8" s="317">
        <f t="shared" si="3"/>
        <v>29.194218515273636</v>
      </c>
      <c r="R8" s="196"/>
      <c r="S8" s="196"/>
      <c r="T8" s="196"/>
      <c r="U8" s="196"/>
      <c r="V8" s="196"/>
      <c r="W8" s="196">
        <f t="shared" si="4"/>
        <v>29.194218515273636</v>
      </c>
      <c r="X8" s="185">
        <v>90.808999999999997</v>
      </c>
      <c r="Y8" s="220">
        <v>12635179.199999999</v>
      </c>
      <c r="Z8" s="220">
        <v>8763932.0892999992</v>
      </c>
      <c r="AB8" s="161">
        <f>+D8-'[2]Data FY23-24 Final'!D8</f>
        <v>705154</v>
      </c>
      <c r="AC8" s="161">
        <f>+E8-'[2]Data FY23-24 Final'!E8</f>
        <v>0</v>
      </c>
      <c r="AD8" s="161">
        <f>+F8-'[2]Data FY23-24 Final'!F8</f>
        <v>1705154</v>
      </c>
      <c r="AE8" s="161">
        <f>+G8-'[2]Data FY23-24 Final'!G8</f>
        <v>-15788.51</v>
      </c>
      <c r="AF8" s="186">
        <f>+H8-'[2]Data FY23-24 Final'!H8</f>
        <v>0</v>
      </c>
      <c r="AG8" s="186">
        <f>+I8-'[2]Data FY23-24 Final'!I8</f>
        <v>0</v>
      </c>
      <c r="AH8" s="186">
        <f>+J8-'[2]Data FY23-24 Final'!J8</f>
        <v>0</v>
      </c>
      <c r="AI8" s="186">
        <f>+K8-'[2]Data FY23-24 Final'!K8</f>
        <v>0</v>
      </c>
      <c r="AJ8" s="186">
        <f>+L8-'[2]Data FY23-24 Final'!L8</f>
        <v>0</v>
      </c>
      <c r="AK8" s="186">
        <f>+M8-'[2]Data FY23-24 Final'!M8</f>
        <v>0</v>
      </c>
      <c r="AL8" s="186">
        <f>+N8-'[2]Data FY23-24 Final'!N8</f>
        <v>0</v>
      </c>
      <c r="AM8" s="186">
        <f>+O8-'[2]Data FY23-24 Final'!O8</f>
        <v>-0.11699999999999999</v>
      </c>
      <c r="AN8" s="186">
        <f>+P8-'[2]Data FY23-24 Final'!P8</f>
        <v>-0.12078148472636405</v>
      </c>
      <c r="AO8" s="186">
        <f>+Q8-'[2]Data FY23-24 Final'!Q8</f>
        <v>-0.23778148472636218</v>
      </c>
      <c r="AP8" s="186">
        <f>+R8-'[2]Data FY23-24 Final'!R8</f>
        <v>-11.507</v>
      </c>
      <c r="AQ8" s="186">
        <f>+S8-'[2]Data FY23-24 Final'!S8</f>
        <v>0</v>
      </c>
      <c r="AR8" s="186">
        <f>+T8-'[2]Data FY23-24 Final'!T8</f>
        <v>0</v>
      </c>
      <c r="AS8" s="186">
        <f>+U8-'[2]Data FY23-24 Final'!U8</f>
        <v>0</v>
      </c>
      <c r="AT8" s="186">
        <f>+V8-'[2]Data FY23-24 Final'!V8</f>
        <v>0</v>
      </c>
      <c r="AU8" s="186">
        <f>+W8-'[2]Data FY23-24 Final'!W8</f>
        <v>-11.744781484726364</v>
      </c>
      <c r="AV8" s="186">
        <f>+X8-'[2]Data FY23-24 Final'!X8</f>
        <v>0</v>
      </c>
      <c r="AW8" s="161">
        <f>+Y8-'[2]Data FY23-24 Final'!Y8</f>
        <v>381977.46999999881</v>
      </c>
      <c r="AX8" s="161">
        <f>+Z8-'[2]Data FY23-24 Final'!Z8</f>
        <v>204761.91029999778</v>
      </c>
    </row>
    <row r="9" spans="1:50" s="154" customFormat="1" ht="13" x14ac:dyDescent="0.3">
      <c r="A9" s="187" t="s">
        <v>89</v>
      </c>
      <c r="B9" s="187" t="s">
        <v>77</v>
      </c>
      <c r="C9" s="194" t="s">
        <v>90</v>
      </c>
      <c r="D9" s="349">
        <v>1117889860</v>
      </c>
      <c r="E9" s="349">
        <v>1688341</v>
      </c>
      <c r="F9" s="349">
        <v>1113201519</v>
      </c>
      <c r="G9" s="350">
        <v>286517.71999999997</v>
      </c>
      <c r="H9" s="348">
        <v>27</v>
      </c>
      <c r="I9" s="348">
        <v>0</v>
      </c>
      <c r="J9" s="210">
        <f t="shared" si="1"/>
        <v>27</v>
      </c>
      <c r="K9" s="185">
        <v>0</v>
      </c>
      <c r="L9" s="197">
        <v>0</v>
      </c>
      <c r="M9" s="185">
        <v>0.442</v>
      </c>
      <c r="N9" s="210">
        <v>0</v>
      </c>
      <c r="O9" s="316">
        <v>6.6920000000000002</v>
      </c>
      <c r="P9" s="211">
        <f t="shared" si="2"/>
        <v>0.25738171850266761</v>
      </c>
      <c r="Q9" s="317">
        <f t="shared" si="3"/>
        <v>34.391381718502664</v>
      </c>
      <c r="R9" s="196"/>
      <c r="S9" s="196"/>
      <c r="T9" s="196"/>
      <c r="U9" s="196"/>
      <c r="V9" s="196"/>
      <c r="W9" s="196">
        <f t="shared" si="4"/>
        <v>34.391381718502664</v>
      </c>
      <c r="X9" s="185">
        <v>81.93</v>
      </c>
      <c r="Y9" s="220">
        <v>97590261.239999995</v>
      </c>
      <c r="Z9" s="220">
        <v>64391041.822799996</v>
      </c>
      <c r="AB9" s="161">
        <f>+D9-'[2]Data FY23-24 Final'!D9</f>
        <v>4447880</v>
      </c>
      <c r="AC9" s="161">
        <f>+E9-'[2]Data FY23-24 Final'!E9</f>
        <v>-737129</v>
      </c>
      <c r="AD9" s="161">
        <f>+F9-'[2]Data FY23-24 Final'!F9</f>
        <v>2185009</v>
      </c>
      <c r="AE9" s="161">
        <f>+G9-'[2]Data FY23-24 Final'!G9</f>
        <v>230448.71999999997</v>
      </c>
      <c r="AF9" s="186">
        <f>+H9-'[2]Data FY23-24 Final'!H9</f>
        <v>0</v>
      </c>
      <c r="AG9" s="186">
        <f>+I9-'[2]Data FY23-24 Final'!I9</f>
        <v>0</v>
      </c>
      <c r="AH9" s="186">
        <f>+J9-'[2]Data FY23-24 Final'!J9</f>
        <v>0</v>
      </c>
      <c r="AI9" s="186">
        <f>+K9-'[2]Data FY23-24 Final'!K9</f>
        <v>0</v>
      </c>
      <c r="AJ9" s="186">
        <f>+L9-'[2]Data FY23-24 Final'!L9</f>
        <v>0</v>
      </c>
      <c r="AK9" s="186">
        <f>+M9-'[2]Data FY23-24 Final'!M9</f>
        <v>-2.5000000000000022E-2</v>
      </c>
      <c r="AL9" s="186">
        <f>+N9-'[2]Data FY23-24 Final'!N9</f>
        <v>0</v>
      </c>
      <c r="AM9" s="186">
        <f>+O9-'[2]Data FY23-24 Final'!O9</f>
        <v>-17.745000000000001</v>
      </c>
      <c r="AN9" s="186">
        <f>+P9-'[2]Data FY23-24 Final'!P9</f>
        <v>0.20738171850266762</v>
      </c>
      <c r="AO9" s="186">
        <f>+Q9-'[2]Data FY23-24 Final'!Q9</f>
        <v>-17.562618281497336</v>
      </c>
      <c r="AP9" s="186">
        <f>+R9-'[2]Data FY23-24 Final'!R9</f>
        <v>-7.4909999999999997</v>
      </c>
      <c r="AQ9" s="186">
        <f>+S9-'[2]Data FY23-24 Final'!S9</f>
        <v>0</v>
      </c>
      <c r="AR9" s="186">
        <f>+T9-'[2]Data FY23-24 Final'!T9</f>
        <v>0</v>
      </c>
      <c r="AS9" s="186">
        <f>+U9-'[2]Data FY23-24 Final'!U9</f>
        <v>0</v>
      </c>
      <c r="AT9" s="186">
        <f>+V9-'[2]Data FY23-24 Final'!V9</f>
        <v>0</v>
      </c>
      <c r="AU9" s="186">
        <f>+W9-'[2]Data FY23-24 Final'!W9</f>
        <v>-25.053618281497336</v>
      </c>
      <c r="AV9" s="186">
        <f>+X9-'[2]Data FY23-24 Final'!X9</f>
        <v>0</v>
      </c>
      <c r="AW9" s="161">
        <f>+Y9-'[2]Data FY23-24 Final'!Y9</f>
        <v>11428265.977999985</v>
      </c>
      <c r="AX9" s="161">
        <f>+Z9-'[2]Data FY23-24 Final'!Z9</f>
        <v>9932045.920799993</v>
      </c>
    </row>
    <row r="10" spans="1:50" s="154" customFormat="1" ht="13" x14ac:dyDescent="0.3">
      <c r="A10" s="187" t="s">
        <v>91</v>
      </c>
      <c r="B10" s="187" t="s">
        <v>92</v>
      </c>
      <c r="C10" s="194" t="s">
        <v>92</v>
      </c>
      <c r="D10" s="349">
        <v>165589403</v>
      </c>
      <c r="E10" s="349">
        <v>0</v>
      </c>
      <c r="F10" s="349">
        <v>165589403</v>
      </c>
      <c r="G10" s="350">
        <v>3773</v>
      </c>
      <c r="H10" s="348">
        <v>27</v>
      </c>
      <c r="I10" s="348">
        <v>0</v>
      </c>
      <c r="J10" s="210">
        <f t="shared" si="1"/>
        <v>27</v>
      </c>
      <c r="K10" s="185">
        <v>0</v>
      </c>
      <c r="L10" s="197">
        <v>0</v>
      </c>
      <c r="M10" s="185">
        <v>0</v>
      </c>
      <c r="N10" s="210">
        <v>0</v>
      </c>
      <c r="O10" s="316">
        <v>0</v>
      </c>
      <c r="P10" s="211">
        <f t="shared" si="2"/>
        <v>2.2785274490059005E-2</v>
      </c>
      <c r="Q10" s="317">
        <f t="shared" si="3"/>
        <v>27.022785274490058</v>
      </c>
      <c r="R10" s="196"/>
      <c r="S10" s="196"/>
      <c r="T10" s="196"/>
      <c r="U10" s="196"/>
      <c r="V10" s="196"/>
      <c r="W10" s="196">
        <f t="shared" si="4"/>
        <v>27.022785274490058</v>
      </c>
      <c r="X10" s="185">
        <v>126.00200000000001</v>
      </c>
      <c r="Y10" s="220">
        <v>22771462.649999999</v>
      </c>
      <c r="Z10" s="220">
        <v>17449799.174099997</v>
      </c>
      <c r="AB10" s="161">
        <f>+D10-'[2]Data FY23-24 Final'!D10</f>
        <v>2214375</v>
      </c>
      <c r="AC10" s="161">
        <f>+E10-'[2]Data FY23-24 Final'!E10</f>
        <v>0</v>
      </c>
      <c r="AD10" s="161">
        <f>+F10-'[2]Data FY23-24 Final'!F10</f>
        <v>2214375</v>
      </c>
      <c r="AE10" s="161">
        <f>+G10-'[2]Data FY23-24 Final'!G10</f>
        <v>-22891</v>
      </c>
      <c r="AF10" s="186">
        <f>+H10-'[2]Data FY23-24 Final'!H10</f>
        <v>0</v>
      </c>
      <c r="AG10" s="186">
        <f>+I10-'[2]Data FY23-24 Final'!I10</f>
        <v>0</v>
      </c>
      <c r="AH10" s="186">
        <f>+J10-'[2]Data FY23-24 Final'!J10</f>
        <v>0</v>
      </c>
      <c r="AI10" s="186">
        <f>+K10-'[2]Data FY23-24 Final'!K10</f>
        <v>0</v>
      </c>
      <c r="AJ10" s="186">
        <f>+L10-'[2]Data FY23-24 Final'!L10</f>
        <v>0</v>
      </c>
      <c r="AK10" s="186">
        <f>+M10-'[2]Data FY23-24 Final'!M10</f>
        <v>0</v>
      </c>
      <c r="AL10" s="186">
        <f>+N10-'[2]Data FY23-24 Final'!N10</f>
        <v>0</v>
      </c>
      <c r="AM10" s="186">
        <f>+O10-'[2]Data FY23-24 Final'!O10</f>
        <v>0</v>
      </c>
      <c r="AN10" s="186">
        <f>+P10-'[2]Data FY23-24 Final'!P10</f>
        <v>-0.14021472550994099</v>
      </c>
      <c r="AO10" s="186">
        <f>+Q10-'[2]Data FY23-24 Final'!Q10</f>
        <v>-0.14021472550994218</v>
      </c>
      <c r="AP10" s="186">
        <f>+R10-'[2]Data FY23-24 Final'!R10</f>
        <v>-6.7329999999999997</v>
      </c>
      <c r="AQ10" s="186">
        <f>+S10-'[2]Data FY23-24 Final'!S10</f>
        <v>0</v>
      </c>
      <c r="AR10" s="186">
        <f>+T10-'[2]Data FY23-24 Final'!T10</f>
        <v>0</v>
      </c>
      <c r="AS10" s="186">
        <f>+U10-'[2]Data FY23-24 Final'!U10</f>
        <v>0</v>
      </c>
      <c r="AT10" s="186">
        <f>+V10-'[2]Data FY23-24 Final'!V10</f>
        <v>0</v>
      </c>
      <c r="AU10" s="186">
        <f>+W10-'[2]Data FY23-24 Final'!W10</f>
        <v>-6.8732147255099427</v>
      </c>
      <c r="AV10" s="186">
        <f>+X10-'[2]Data FY23-24 Final'!X10</f>
        <v>0</v>
      </c>
      <c r="AW10" s="161">
        <f>+Y10-'[2]Data FY23-24 Final'!Y10</f>
        <v>129681.83999999985</v>
      </c>
      <c r="AX10" s="161">
        <f>+Z10-'[2]Data FY23-24 Final'!Z10</f>
        <v>-214959.55990000069</v>
      </c>
    </row>
    <row r="11" spans="1:50" s="154" customFormat="1" ht="13" x14ac:dyDescent="0.3">
      <c r="A11" s="187" t="s">
        <v>93</v>
      </c>
      <c r="B11" s="187" t="s">
        <v>92</v>
      </c>
      <c r="C11" s="194" t="s">
        <v>94</v>
      </c>
      <c r="D11" s="349">
        <v>48539447</v>
      </c>
      <c r="E11" s="349">
        <v>0</v>
      </c>
      <c r="F11" s="349">
        <v>48539447</v>
      </c>
      <c r="G11" s="350">
        <v>2068.11</v>
      </c>
      <c r="H11" s="348">
        <v>27</v>
      </c>
      <c r="I11" s="348">
        <v>0</v>
      </c>
      <c r="J11" s="210">
        <f t="shared" si="1"/>
        <v>27</v>
      </c>
      <c r="K11" s="185">
        <v>0</v>
      </c>
      <c r="L11" s="197">
        <v>0</v>
      </c>
      <c r="M11" s="185">
        <v>0</v>
      </c>
      <c r="N11" s="210">
        <v>0</v>
      </c>
      <c r="O11" s="316">
        <v>0</v>
      </c>
      <c r="P11" s="211">
        <f t="shared" si="2"/>
        <v>4.2606789484025229E-2</v>
      </c>
      <c r="Q11" s="317">
        <f t="shared" si="3"/>
        <v>27.042606789484026</v>
      </c>
      <c r="R11" s="196"/>
      <c r="S11" s="196"/>
      <c r="T11" s="196"/>
      <c r="U11" s="196"/>
      <c r="V11" s="196"/>
      <c r="W11" s="196">
        <f t="shared" si="4"/>
        <v>27.042606789484026</v>
      </c>
      <c r="X11" s="185">
        <v>77.784000000000006</v>
      </c>
      <c r="Y11" s="220">
        <v>3897280.79</v>
      </c>
      <c r="Z11" s="220">
        <v>2453913.1628999999</v>
      </c>
      <c r="AB11" s="161">
        <f>+D11-'[2]Data FY23-24 Final'!D11</f>
        <v>1573900</v>
      </c>
      <c r="AC11" s="161">
        <f>+E11-'[2]Data FY23-24 Final'!E11</f>
        <v>0</v>
      </c>
      <c r="AD11" s="161">
        <f>+F11-'[2]Data FY23-24 Final'!F11</f>
        <v>1573900</v>
      </c>
      <c r="AE11" s="161">
        <f>+G11-'[2]Data FY23-24 Final'!G11</f>
        <v>125.11000000000013</v>
      </c>
      <c r="AF11" s="186">
        <f>+H11-'[2]Data FY23-24 Final'!H11</f>
        <v>0</v>
      </c>
      <c r="AG11" s="186">
        <f>+I11-'[2]Data FY23-24 Final'!I11</f>
        <v>0</v>
      </c>
      <c r="AH11" s="186">
        <f>+J11-'[2]Data FY23-24 Final'!J11</f>
        <v>0</v>
      </c>
      <c r="AI11" s="186">
        <f>+K11-'[2]Data FY23-24 Final'!K11</f>
        <v>0</v>
      </c>
      <c r="AJ11" s="186">
        <f>+L11-'[2]Data FY23-24 Final'!L11</f>
        <v>0</v>
      </c>
      <c r="AK11" s="186">
        <f>+M11-'[2]Data FY23-24 Final'!M11</f>
        <v>0</v>
      </c>
      <c r="AL11" s="186">
        <f>+N11-'[2]Data FY23-24 Final'!N11</f>
        <v>0</v>
      </c>
      <c r="AM11" s="186">
        <f>+O11-'[2]Data FY23-24 Final'!O11</f>
        <v>0</v>
      </c>
      <c r="AN11" s="186">
        <f>+P11-'[2]Data FY23-24 Final'!P11</f>
        <v>1.606789484025227E-3</v>
      </c>
      <c r="AO11" s="186">
        <f>+Q11-'[2]Data FY23-24 Final'!Q11</f>
        <v>1.6067894840254837E-3</v>
      </c>
      <c r="AP11" s="186">
        <f>+R11-'[2]Data FY23-24 Final'!R11</f>
        <v>-6.59</v>
      </c>
      <c r="AQ11" s="186">
        <f>+S11-'[2]Data FY23-24 Final'!S11</f>
        <v>0</v>
      </c>
      <c r="AR11" s="186">
        <f>+T11-'[2]Data FY23-24 Final'!T11</f>
        <v>0</v>
      </c>
      <c r="AS11" s="186">
        <f>+U11-'[2]Data FY23-24 Final'!U11</f>
        <v>0</v>
      </c>
      <c r="AT11" s="186">
        <f>+V11-'[2]Data FY23-24 Final'!V11</f>
        <v>0</v>
      </c>
      <c r="AU11" s="186">
        <f>+W11-'[2]Data FY23-24 Final'!W11</f>
        <v>-6.5883932105159744</v>
      </c>
      <c r="AV11" s="186">
        <f>+X11-'[2]Data FY23-24 Final'!X11</f>
        <v>0</v>
      </c>
      <c r="AW11" s="161">
        <f>+Y11-'[2]Data FY23-24 Final'!Y11</f>
        <v>-41111.10999999987</v>
      </c>
      <c r="AX11" s="161">
        <f>+Z11-'[2]Data FY23-24 Final'!Z11</f>
        <v>-75576.158100000117</v>
      </c>
    </row>
    <row r="12" spans="1:50" s="154" customFormat="1" ht="13" x14ac:dyDescent="0.3">
      <c r="A12" s="187" t="s">
        <v>95</v>
      </c>
      <c r="B12" s="187" t="s">
        <v>96</v>
      </c>
      <c r="C12" s="194" t="s">
        <v>97</v>
      </c>
      <c r="D12" s="349">
        <v>918660064</v>
      </c>
      <c r="E12" s="349">
        <v>67573166</v>
      </c>
      <c r="F12" s="349">
        <v>851086898</v>
      </c>
      <c r="G12" s="350">
        <v>214719.35999999999</v>
      </c>
      <c r="H12" s="348">
        <v>27</v>
      </c>
      <c r="I12" s="348">
        <v>1.1049999999999969</v>
      </c>
      <c r="J12" s="210">
        <f t="shared" si="1"/>
        <v>25.895000000000003</v>
      </c>
      <c r="K12" s="185">
        <v>0</v>
      </c>
      <c r="L12" s="197">
        <v>0</v>
      </c>
      <c r="M12" s="185">
        <v>0</v>
      </c>
      <c r="N12" s="210">
        <v>0</v>
      </c>
      <c r="O12" s="316">
        <v>5.3220000000000001</v>
      </c>
      <c r="P12" s="211">
        <f t="shared" si="2"/>
        <v>0.2522884096848122</v>
      </c>
      <c r="Q12" s="317">
        <f t="shared" si="3"/>
        <v>31.469288409684815</v>
      </c>
      <c r="R12" s="196"/>
      <c r="S12" s="196"/>
      <c r="T12" s="196"/>
      <c r="U12" s="196"/>
      <c r="V12" s="196"/>
      <c r="W12" s="196">
        <f t="shared" si="4"/>
        <v>31.469288409684815</v>
      </c>
      <c r="X12" s="185">
        <v>27.728999999999999</v>
      </c>
      <c r="Y12" s="220">
        <v>25255064.199999999</v>
      </c>
      <c r="Z12" s="220">
        <v>2479112.6974999988</v>
      </c>
      <c r="AB12" s="161">
        <f>+D12-'[2]Data FY23-24 Final'!D12</f>
        <v>32572090</v>
      </c>
      <c r="AC12" s="161">
        <f>+E12-'[2]Data FY23-24 Final'!E12</f>
        <v>11614960</v>
      </c>
      <c r="AD12" s="161">
        <f>+F12-'[2]Data FY23-24 Final'!F12</f>
        <v>20957130</v>
      </c>
      <c r="AE12" s="161">
        <f>+G12-'[2]Data FY23-24 Final'!G12</f>
        <v>68256.359999999986</v>
      </c>
      <c r="AF12" s="186">
        <f>+H12-'[2]Data FY23-24 Final'!H12</f>
        <v>0</v>
      </c>
      <c r="AG12" s="186">
        <f>+I12-'[2]Data FY23-24 Final'!I12</f>
        <v>-1.0000000000000031</v>
      </c>
      <c r="AH12" s="186">
        <f>+J12-'[2]Data FY23-24 Final'!J12</f>
        <v>1.0000000000000036</v>
      </c>
      <c r="AI12" s="186">
        <f>+K12-'[2]Data FY23-24 Final'!K12</f>
        <v>0</v>
      </c>
      <c r="AJ12" s="186">
        <f>+L12-'[2]Data FY23-24 Final'!L12</f>
        <v>0</v>
      </c>
      <c r="AK12" s="186">
        <f>+M12-'[2]Data FY23-24 Final'!M12</f>
        <v>0</v>
      </c>
      <c r="AL12" s="186">
        <f>+N12-'[2]Data FY23-24 Final'!N12</f>
        <v>0</v>
      </c>
      <c r="AM12" s="186">
        <f>+O12-'[2]Data FY23-24 Final'!O12</f>
        <v>-2.0935269999999999</v>
      </c>
      <c r="AN12" s="186">
        <f>+P12-'[2]Data FY23-24 Final'!P12</f>
        <v>7.5854409684812191E-2</v>
      </c>
      <c r="AO12" s="186">
        <f>+Q12-'[2]Data FY23-24 Final'!Q12</f>
        <v>-1.0176725903151862</v>
      </c>
      <c r="AP12" s="186">
        <f>+R12-'[2]Data FY23-24 Final'!R12</f>
        <v>-11.769479</v>
      </c>
      <c r="AQ12" s="186">
        <f>+S12-'[2]Data FY23-24 Final'!S12</f>
        <v>0</v>
      </c>
      <c r="AR12" s="186">
        <f>+T12-'[2]Data FY23-24 Final'!T12</f>
        <v>0</v>
      </c>
      <c r="AS12" s="186">
        <f>+U12-'[2]Data FY23-24 Final'!U12</f>
        <v>-4.818524</v>
      </c>
      <c r="AT12" s="186">
        <f>+V12-'[2]Data FY23-24 Final'!V12</f>
        <v>0</v>
      </c>
      <c r="AU12" s="186">
        <f>+W12-'[2]Data FY23-24 Final'!W12</f>
        <v>-17.605675590315187</v>
      </c>
      <c r="AV12" s="186">
        <f>+X12-'[2]Data FY23-24 Final'!X12</f>
        <v>0</v>
      </c>
      <c r="AW12" s="161">
        <f>+Y12-'[2]Data FY23-24 Final'!Y12</f>
        <v>259333.83999999985</v>
      </c>
      <c r="AX12" s="161">
        <f>+Z12-'[2]Data FY23-24 Final'!Z12</f>
        <v>-638422.78813999891</v>
      </c>
    </row>
    <row r="13" spans="1:50" s="154" customFormat="1" ht="13" x14ac:dyDescent="0.3">
      <c r="A13" s="187" t="s">
        <v>98</v>
      </c>
      <c r="B13" s="187" t="s">
        <v>96</v>
      </c>
      <c r="C13" s="194" t="s">
        <v>99</v>
      </c>
      <c r="D13" s="349">
        <v>369308356</v>
      </c>
      <c r="E13" s="349">
        <v>38079511</v>
      </c>
      <c r="F13" s="349">
        <v>331228845</v>
      </c>
      <c r="G13" s="350">
        <v>104899.25</v>
      </c>
      <c r="H13" s="348">
        <v>27</v>
      </c>
      <c r="I13" s="348">
        <v>2.0530000000000008</v>
      </c>
      <c r="J13" s="210">
        <f t="shared" si="1"/>
        <v>24.946999999999999</v>
      </c>
      <c r="K13" s="185">
        <v>0</v>
      </c>
      <c r="L13" s="197">
        <v>0</v>
      </c>
      <c r="M13" s="185">
        <v>0</v>
      </c>
      <c r="N13" s="210">
        <v>0</v>
      </c>
      <c r="O13" s="316">
        <v>2.8570000000000002</v>
      </c>
      <c r="P13" s="211">
        <f t="shared" si="2"/>
        <v>0.31669720673028945</v>
      </c>
      <c r="Q13" s="317">
        <f t="shared" si="3"/>
        <v>28.120697206730288</v>
      </c>
      <c r="R13" s="196"/>
      <c r="S13" s="196"/>
      <c r="T13" s="196"/>
      <c r="U13" s="196"/>
      <c r="V13" s="196"/>
      <c r="W13" s="196">
        <f t="shared" si="4"/>
        <v>28.120697206730288</v>
      </c>
      <c r="X13" s="185">
        <v>38.282999999999994</v>
      </c>
      <c r="Y13" s="220">
        <v>13798224.43</v>
      </c>
      <c r="Z13" s="220">
        <v>5017649.8969859993</v>
      </c>
      <c r="AB13" s="161">
        <f>+D13-'[2]Data FY23-24 Final'!D13</f>
        <v>-2657463</v>
      </c>
      <c r="AC13" s="161">
        <f>+E13-'[2]Data FY23-24 Final'!E13</f>
        <v>-3312768</v>
      </c>
      <c r="AD13" s="161">
        <f>+F13-'[2]Data FY23-24 Final'!F13</f>
        <v>655305</v>
      </c>
      <c r="AE13" s="161">
        <f>+G13-'[2]Data FY23-24 Final'!G13</f>
        <v>-19840.75</v>
      </c>
      <c r="AF13" s="186">
        <f>+H13-'[2]Data FY23-24 Final'!H13</f>
        <v>0</v>
      </c>
      <c r="AG13" s="186">
        <f>+I13-'[2]Data FY23-24 Final'!I13</f>
        <v>-0.99999999999999911</v>
      </c>
      <c r="AH13" s="186">
        <f>+J13-'[2]Data FY23-24 Final'!J13</f>
        <v>1</v>
      </c>
      <c r="AI13" s="186">
        <f>+K13-'[2]Data FY23-24 Final'!K13</f>
        <v>0</v>
      </c>
      <c r="AJ13" s="186">
        <f>+L13-'[2]Data FY23-24 Final'!L13</f>
        <v>0</v>
      </c>
      <c r="AK13" s="186">
        <f>+M13-'[2]Data FY23-24 Final'!M13</f>
        <v>0</v>
      </c>
      <c r="AL13" s="186">
        <f>+N13-'[2]Data FY23-24 Final'!N13</f>
        <v>0</v>
      </c>
      <c r="AM13" s="186">
        <f>+O13-'[2]Data FY23-24 Final'!O13</f>
        <v>-8.7049999999999983</v>
      </c>
      <c r="AN13" s="186">
        <f>+P13-'[2]Data FY23-24 Final'!P13</f>
        <v>-6.0302793269710553E-2</v>
      </c>
      <c r="AO13" s="186">
        <f>+Q13-'[2]Data FY23-24 Final'!Q13</f>
        <v>-7.765302793269715</v>
      </c>
      <c r="AP13" s="186">
        <f>+R13-'[2]Data FY23-24 Final'!R13</f>
        <v>-4.3860000000000001</v>
      </c>
      <c r="AQ13" s="186">
        <f>+S13-'[2]Data FY23-24 Final'!S13</f>
        <v>0</v>
      </c>
      <c r="AR13" s="186">
        <f>+T13-'[2]Data FY23-24 Final'!T13</f>
        <v>0</v>
      </c>
      <c r="AS13" s="186">
        <f>+U13-'[2]Data FY23-24 Final'!U13</f>
        <v>0</v>
      </c>
      <c r="AT13" s="186">
        <f>+V13-'[2]Data FY23-24 Final'!V13</f>
        <v>0</v>
      </c>
      <c r="AU13" s="186">
        <f>+W13-'[2]Data FY23-24 Final'!W13</f>
        <v>-12.151302793269711</v>
      </c>
      <c r="AV13" s="186">
        <f>+X13-'[2]Data FY23-24 Final'!X13</f>
        <v>0</v>
      </c>
      <c r="AW13" s="161">
        <f>+Y13-'[2]Data FY23-24 Final'!Y13</f>
        <v>292860.16000000015</v>
      </c>
      <c r="AX13" s="161">
        <f>+Z13-'[2]Data FY23-24 Final'!Z13</f>
        <v>-104192.10063400026</v>
      </c>
    </row>
    <row r="14" spans="1:50" s="154" customFormat="1" ht="13" x14ac:dyDescent="0.3">
      <c r="A14" s="187" t="s">
        <v>100</v>
      </c>
      <c r="B14" s="187" t="s">
        <v>96</v>
      </c>
      <c r="C14" s="194" t="s">
        <v>101</v>
      </c>
      <c r="D14" s="349">
        <v>8983595707</v>
      </c>
      <c r="E14" s="349">
        <v>64460780</v>
      </c>
      <c r="F14" s="349">
        <v>8919134927</v>
      </c>
      <c r="G14" s="350">
        <v>2223882.73</v>
      </c>
      <c r="H14" s="348">
        <v>18.756</v>
      </c>
      <c r="I14" s="348">
        <v>0</v>
      </c>
      <c r="J14" s="210">
        <f t="shared" si="1"/>
        <v>18.756</v>
      </c>
      <c r="K14" s="185">
        <v>0</v>
      </c>
      <c r="L14" s="197">
        <v>0</v>
      </c>
      <c r="M14" s="185">
        <v>0.69</v>
      </c>
      <c r="N14" s="210">
        <v>4.1000000000000002E-2</v>
      </c>
      <c r="O14" s="316">
        <v>8.3090000000000011</v>
      </c>
      <c r="P14" s="211">
        <f t="shared" si="2"/>
        <v>0.24933838855468635</v>
      </c>
      <c r="Q14" s="317">
        <f t="shared" si="3"/>
        <v>28.04533838855469</v>
      </c>
      <c r="R14" s="196"/>
      <c r="S14" s="196"/>
      <c r="T14" s="196"/>
      <c r="U14" s="351"/>
      <c r="V14" s="351"/>
      <c r="W14" s="196">
        <f t="shared" si="4"/>
        <v>28.04533838855469</v>
      </c>
      <c r="X14" s="185">
        <v>58.149000000000001</v>
      </c>
      <c r="Y14" s="220">
        <v>555729448.97000003</v>
      </c>
      <c r="Z14" s="220">
        <v>368670038.26174408</v>
      </c>
      <c r="AB14" s="161">
        <f>+D14-'[2]Data FY23-24 Final'!D14</f>
        <v>41042333</v>
      </c>
      <c r="AC14" s="161">
        <f>+E14-'[2]Data FY23-24 Final'!E14</f>
        <v>-730025</v>
      </c>
      <c r="AD14" s="161">
        <f>+F14-'[2]Data FY23-24 Final'!F14</f>
        <v>41772358</v>
      </c>
      <c r="AE14" s="161">
        <f>+G14-'[2]Data FY23-24 Final'!G14</f>
        <v>-380463.27</v>
      </c>
      <c r="AF14" s="186">
        <f>+H14-'[2]Data FY23-24 Final'!H14</f>
        <v>0</v>
      </c>
      <c r="AG14" s="186">
        <f>+I14-'[2]Data FY23-24 Final'!I14</f>
        <v>0</v>
      </c>
      <c r="AH14" s="186">
        <f>+J14-'[2]Data FY23-24 Final'!J14</f>
        <v>0</v>
      </c>
      <c r="AI14" s="186">
        <f>+K14-'[2]Data FY23-24 Final'!K14</f>
        <v>0</v>
      </c>
      <c r="AJ14" s="186">
        <f>+L14-'[2]Data FY23-24 Final'!L14</f>
        <v>0</v>
      </c>
      <c r="AK14" s="186">
        <f>+M14-'[2]Data FY23-24 Final'!M14</f>
        <v>-3.7000000000000033E-2</v>
      </c>
      <c r="AL14" s="186">
        <f>+N14-'[2]Data FY23-24 Final'!N14</f>
        <v>-3.9999999999999966E-3</v>
      </c>
      <c r="AM14" s="186">
        <f>+O14-'[2]Data FY23-24 Final'!O14</f>
        <v>-6.8689999999999998</v>
      </c>
      <c r="AN14" s="186">
        <f>+P14-'[2]Data FY23-24 Final'!P14</f>
        <v>-4.3661611445313636E-2</v>
      </c>
      <c r="AO14" s="186">
        <f>+Q14-'[2]Data FY23-24 Final'!Q14</f>
        <v>-6.9536616114453125</v>
      </c>
      <c r="AP14" s="186">
        <f>+R14-'[2]Data FY23-24 Final'!R14</f>
        <v>-7.7759999999999998</v>
      </c>
      <c r="AQ14" s="186">
        <f>+S14-'[2]Data FY23-24 Final'!S14</f>
        <v>0</v>
      </c>
      <c r="AR14" s="186">
        <f>+T14-'[2]Data FY23-24 Final'!T14</f>
        <v>0</v>
      </c>
      <c r="AS14" s="186">
        <f>+U14-'[2]Data FY23-24 Final'!U14</f>
        <v>-4.7919999999999998</v>
      </c>
      <c r="AT14" s="186">
        <f>+V14-'[2]Data FY23-24 Final'!V14</f>
        <v>0</v>
      </c>
      <c r="AU14" s="186">
        <f>+W14-'[2]Data FY23-24 Final'!W14</f>
        <v>-19.52166161144531</v>
      </c>
      <c r="AV14" s="186">
        <f>+X14-'[2]Data FY23-24 Final'!X14</f>
        <v>0</v>
      </c>
      <c r="AW14" s="161">
        <f>+Y14-'[2]Data FY23-24 Final'!Y14</f>
        <v>2056624.5</v>
      </c>
      <c r="AX14" s="161">
        <f>+Z14-'[2]Data FY23-24 Final'!Z14</f>
        <v>-6345572.6340919137</v>
      </c>
    </row>
    <row r="15" spans="1:50" s="154" customFormat="1" ht="13" x14ac:dyDescent="0.3">
      <c r="A15" s="187" t="s">
        <v>102</v>
      </c>
      <c r="B15" s="187" t="s">
        <v>96</v>
      </c>
      <c r="C15" s="194" t="s">
        <v>103</v>
      </c>
      <c r="D15" s="349">
        <v>2526957375</v>
      </c>
      <c r="E15" s="349">
        <v>32853380</v>
      </c>
      <c r="F15" s="349">
        <v>2494103995</v>
      </c>
      <c r="G15" s="350">
        <v>914033.02</v>
      </c>
      <c r="H15" s="348">
        <v>27</v>
      </c>
      <c r="I15" s="348">
        <v>0</v>
      </c>
      <c r="J15" s="210">
        <f t="shared" si="1"/>
        <v>27</v>
      </c>
      <c r="K15" s="185">
        <v>0</v>
      </c>
      <c r="L15" s="197">
        <v>0</v>
      </c>
      <c r="M15" s="185">
        <v>0.88099999999999989</v>
      </c>
      <c r="N15" s="210">
        <v>0</v>
      </c>
      <c r="O15" s="316">
        <v>10.083</v>
      </c>
      <c r="P15" s="211">
        <f t="shared" si="2"/>
        <v>0.36647750929086664</v>
      </c>
      <c r="Q15" s="317">
        <f t="shared" si="3"/>
        <v>38.330477509290866</v>
      </c>
      <c r="R15" s="196"/>
      <c r="S15" s="196"/>
      <c r="T15" s="196"/>
      <c r="U15" s="196"/>
      <c r="V15" s="196"/>
      <c r="W15" s="196">
        <f t="shared" si="4"/>
        <v>38.330477509290866</v>
      </c>
      <c r="X15" s="185">
        <v>51.186</v>
      </c>
      <c r="Y15" s="220">
        <v>138888647.13</v>
      </c>
      <c r="Z15" s="220">
        <v>63564468.178899996</v>
      </c>
      <c r="AB15" s="161">
        <f>+D15-'[2]Data FY23-24 Final'!D15</f>
        <v>22440109</v>
      </c>
      <c r="AC15" s="161">
        <f>+E15-'[2]Data FY23-24 Final'!E15</f>
        <v>-659124</v>
      </c>
      <c r="AD15" s="161">
        <f>+F15-'[2]Data FY23-24 Final'!F15</f>
        <v>23099233</v>
      </c>
      <c r="AE15" s="161">
        <f>+G15-'[2]Data FY23-24 Final'!G15</f>
        <v>77881.020000000019</v>
      </c>
      <c r="AF15" s="186">
        <f>+H15-'[2]Data FY23-24 Final'!H15</f>
        <v>0</v>
      </c>
      <c r="AG15" s="186">
        <f>+I15-'[2]Data FY23-24 Final'!I15</f>
        <v>0</v>
      </c>
      <c r="AH15" s="186">
        <f>+J15-'[2]Data FY23-24 Final'!J15</f>
        <v>0</v>
      </c>
      <c r="AI15" s="186">
        <f>+K15-'[2]Data FY23-24 Final'!K15</f>
        <v>0</v>
      </c>
      <c r="AJ15" s="186">
        <f>+L15-'[2]Data FY23-24 Final'!L15</f>
        <v>0</v>
      </c>
      <c r="AK15" s="186">
        <f>+M15-'[2]Data FY23-24 Final'!M15</f>
        <v>-5.6000000000000161E-2</v>
      </c>
      <c r="AL15" s="186">
        <f>+N15-'[2]Data FY23-24 Final'!N15</f>
        <v>0</v>
      </c>
      <c r="AM15" s="186">
        <f>+O15-'[2]Data FY23-24 Final'!O15</f>
        <v>-0.64100000000000001</v>
      </c>
      <c r="AN15" s="186">
        <f>+P15-'[2]Data FY23-24 Final'!P15</f>
        <v>2.8477509290866621E-2</v>
      </c>
      <c r="AO15" s="186">
        <f>+Q15-'[2]Data FY23-24 Final'!Q15</f>
        <v>-0.66852249070913672</v>
      </c>
      <c r="AP15" s="186">
        <f>+R15-'[2]Data FY23-24 Final'!R15</f>
        <v>-14.848000000000001</v>
      </c>
      <c r="AQ15" s="186">
        <f>+S15-'[2]Data FY23-24 Final'!S15</f>
        <v>0</v>
      </c>
      <c r="AR15" s="186">
        <f>+T15-'[2]Data FY23-24 Final'!T15</f>
        <v>-9</v>
      </c>
      <c r="AS15" s="186">
        <f>+U15-'[2]Data FY23-24 Final'!U15</f>
        <v>0</v>
      </c>
      <c r="AT15" s="186">
        <f>+V15-'[2]Data FY23-24 Final'!V15</f>
        <v>0</v>
      </c>
      <c r="AU15" s="186">
        <f>+W15-'[2]Data FY23-24 Final'!W15</f>
        <v>-24.516522490709136</v>
      </c>
      <c r="AV15" s="186">
        <f>+X15-'[2]Data FY23-24 Final'!X15</f>
        <v>0</v>
      </c>
      <c r="AW15" s="161">
        <f>+Y15-'[2]Data FY23-24 Final'!Y15</f>
        <v>1276081.5499999821</v>
      </c>
      <c r="AX15" s="161">
        <f>+Z15-'[2]Data FY23-24 Final'!Z15</f>
        <v>-2443693.0071000159</v>
      </c>
    </row>
    <row r="16" spans="1:50" s="154" customFormat="1" ht="13" x14ac:dyDescent="0.3">
      <c r="A16" s="187" t="s">
        <v>104</v>
      </c>
      <c r="B16" s="187" t="s">
        <v>96</v>
      </c>
      <c r="C16" s="194" t="s">
        <v>105</v>
      </c>
      <c r="D16" s="349">
        <v>53113064</v>
      </c>
      <c r="E16" s="349">
        <v>0</v>
      </c>
      <c r="F16" s="349">
        <v>53113064</v>
      </c>
      <c r="G16" s="350">
        <v>0</v>
      </c>
      <c r="H16" s="348">
        <v>27</v>
      </c>
      <c r="I16" s="348">
        <v>0</v>
      </c>
      <c r="J16" s="210">
        <f t="shared" si="1"/>
        <v>27</v>
      </c>
      <c r="K16" s="185">
        <v>0</v>
      </c>
      <c r="L16" s="197">
        <v>0</v>
      </c>
      <c r="M16" s="185">
        <v>0.11299999999999999</v>
      </c>
      <c r="N16" s="210">
        <v>0</v>
      </c>
      <c r="O16" s="316">
        <v>0</v>
      </c>
      <c r="P16" s="211">
        <f t="shared" si="2"/>
        <v>0</v>
      </c>
      <c r="Q16" s="317">
        <f t="shared" si="3"/>
        <v>27.113</v>
      </c>
      <c r="R16" s="196"/>
      <c r="S16" s="196"/>
      <c r="T16" s="196"/>
      <c r="U16" s="196"/>
      <c r="V16" s="196"/>
      <c r="W16" s="196">
        <f t="shared" si="4"/>
        <v>27.113</v>
      </c>
      <c r="X16" s="185">
        <v>79.423999999999992</v>
      </c>
      <c r="Y16" s="220">
        <v>4657169.2699999996</v>
      </c>
      <c r="Z16" s="220">
        <v>3013381.6686999993</v>
      </c>
      <c r="AB16" s="161">
        <f>+D16-'[2]Data FY23-24 Final'!D16</f>
        <v>1178230</v>
      </c>
      <c r="AC16" s="161">
        <f>+E16-'[2]Data FY23-24 Final'!E16</f>
        <v>0</v>
      </c>
      <c r="AD16" s="161">
        <f>+F16-'[2]Data FY23-24 Final'!F16</f>
        <v>1178230</v>
      </c>
      <c r="AE16" s="161">
        <f>+G16-'[2]Data FY23-24 Final'!G16</f>
        <v>-6239</v>
      </c>
      <c r="AF16" s="186">
        <f>+H16-'[2]Data FY23-24 Final'!H16</f>
        <v>0</v>
      </c>
      <c r="AG16" s="186">
        <f>+I16-'[2]Data FY23-24 Final'!I16</f>
        <v>0</v>
      </c>
      <c r="AH16" s="186">
        <f>+J16-'[2]Data FY23-24 Final'!J16</f>
        <v>0</v>
      </c>
      <c r="AI16" s="186">
        <f>+K16-'[2]Data FY23-24 Final'!K16</f>
        <v>0</v>
      </c>
      <c r="AJ16" s="186">
        <f>+L16-'[2]Data FY23-24 Final'!L16</f>
        <v>0</v>
      </c>
      <c r="AK16" s="186">
        <f>+M16-'[2]Data FY23-24 Final'!M16</f>
        <v>-1.2000000000000011E-2</v>
      </c>
      <c r="AL16" s="186">
        <f>+N16-'[2]Data FY23-24 Final'!N16</f>
        <v>0</v>
      </c>
      <c r="AM16" s="186">
        <f>+O16-'[2]Data FY23-24 Final'!O16</f>
        <v>0</v>
      </c>
      <c r="AN16" s="186">
        <f>+P16-'[2]Data FY23-24 Final'!P16</f>
        <v>-0.12</v>
      </c>
      <c r="AO16" s="186">
        <f>+Q16-'[2]Data FY23-24 Final'!Q16</f>
        <v>-0.13200000000000145</v>
      </c>
      <c r="AP16" s="186">
        <f>+R16-'[2]Data FY23-24 Final'!R16</f>
        <v>-10.238</v>
      </c>
      <c r="AQ16" s="186">
        <f>+S16-'[2]Data FY23-24 Final'!S16</f>
        <v>0</v>
      </c>
      <c r="AR16" s="186">
        <f>+T16-'[2]Data FY23-24 Final'!T16</f>
        <v>0</v>
      </c>
      <c r="AS16" s="186">
        <f>+U16-'[2]Data FY23-24 Final'!U16</f>
        <v>0</v>
      </c>
      <c r="AT16" s="186">
        <f>+V16-'[2]Data FY23-24 Final'!V16</f>
        <v>0</v>
      </c>
      <c r="AU16" s="186">
        <f>+W16-'[2]Data FY23-24 Final'!W16</f>
        <v>-10.369999999999997</v>
      </c>
      <c r="AV16" s="186">
        <f>+X16-'[2]Data FY23-24 Final'!X16</f>
        <v>0</v>
      </c>
      <c r="AW16" s="161">
        <f>+Y16-'[2]Data FY23-24 Final'!Y16</f>
        <v>-176178.35000000056</v>
      </c>
      <c r="AX16" s="161">
        <f>+Z16-'[2]Data FY23-24 Final'!Z16</f>
        <v>-325319.68330000062</v>
      </c>
    </row>
    <row r="17" spans="1:50" s="154" customFormat="1" ht="13" x14ac:dyDescent="0.3">
      <c r="A17" s="187" t="s">
        <v>106</v>
      </c>
      <c r="B17" s="187" t="s">
        <v>96</v>
      </c>
      <c r="C17" s="194" t="s">
        <v>107</v>
      </c>
      <c r="D17" s="349">
        <v>5734000442</v>
      </c>
      <c r="E17" s="349">
        <v>154341052</v>
      </c>
      <c r="F17" s="349">
        <v>5579659390</v>
      </c>
      <c r="G17" s="350">
        <v>2966616.36</v>
      </c>
      <c r="H17" s="348">
        <v>27</v>
      </c>
      <c r="I17" s="348">
        <v>0</v>
      </c>
      <c r="J17" s="210">
        <f t="shared" si="1"/>
        <v>27</v>
      </c>
      <c r="K17" s="185">
        <v>0</v>
      </c>
      <c r="L17" s="197">
        <v>0</v>
      </c>
      <c r="M17" s="185">
        <v>0</v>
      </c>
      <c r="N17" s="210">
        <v>0</v>
      </c>
      <c r="O17" s="316">
        <v>6.6280000000000001</v>
      </c>
      <c r="P17" s="211">
        <f t="shared" si="2"/>
        <v>0.53168413206670673</v>
      </c>
      <c r="Q17" s="317">
        <f t="shared" si="3"/>
        <v>34.159684132066708</v>
      </c>
      <c r="R17" s="196"/>
      <c r="S17" s="196"/>
      <c r="T17" s="196"/>
      <c r="U17" s="196"/>
      <c r="V17" s="196"/>
      <c r="W17" s="196">
        <f t="shared" si="4"/>
        <v>34.159684132066708</v>
      </c>
      <c r="X17" s="185">
        <v>76.611000000000004</v>
      </c>
      <c r="Y17" s="220">
        <v>437869310.33999997</v>
      </c>
      <c r="Z17" s="220">
        <v>279475904.22769994</v>
      </c>
      <c r="AB17" s="161">
        <f>+D17-'[2]Data FY23-24 Final'!D17</f>
        <v>283300136</v>
      </c>
      <c r="AC17" s="161">
        <f>+E17-'[2]Data FY23-24 Final'!E17</f>
        <v>12980912</v>
      </c>
      <c r="AD17" s="161">
        <f>+F17-'[2]Data FY23-24 Final'!F17</f>
        <v>270319224</v>
      </c>
      <c r="AE17" s="161">
        <f>+G17-'[2]Data FY23-24 Final'!G17</f>
        <v>1279980.0299999998</v>
      </c>
      <c r="AF17" s="186">
        <f>+H17-'[2]Data FY23-24 Final'!H17</f>
        <v>0</v>
      </c>
      <c r="AG17" s="186">
        <f>+I17-'[2]Data FY23-24 Final'!I17</f>
        <v>0</v>
      </c>
      <c r="AH17" s="186">
        <f>+J17-'[2]Data FY23-24 Final'!J17</f>
        <v>0</v>
      </c>
      <c r="AI17" s="186">
        <f>+K17-'[2]Data FY23-24 Final'!K17</f>
        <v>0</v>
      </c>
      <c r="AJ17" s="186">
        <f>+L17-'[2]Data FY23-24 Final'!L17</f>
        <v>0</v>
      </c>
      <c r="AK17" s="186">
        <f>+M17-'[2]Data FY23-24 Final'!M17</f>
        <v>0</v>
      </c>
      <c r="AL17" s="186">
        <f>+N17-'[2]Data FY23-24 Final'!N17</f>
        <v>0</v>
      </c>
      <c r="AM17" s="186">
        <f>+O17-'[2]Data FY23-24 Final'!O17</f>
        <v>-15.484999999999999</v>
      </c>
      <c r="AN17" s="186">
        <f>+P17-'[2]Data FY23-24 Final'!P17</f>
        <v>0.21368413206670672</v>
      </c>
      <c r="AO17" s="186">
        <f>+Q17-'[2]Data FY23-24 Final'!Q17</f>
        <v>-15.271315867933289</v>
      </c>
      <c r="AP17" s="186">
        <f>+R17-'[2]Data FY23-24 Final'!R17</f>
        <v>-21.9</v>
      </c>
      <c r="AQ17" s="186">
        <f>+S17-'[2]Data FY23-24 Final'!S17</f>
        <v>0</v>
      </c>
      <c r="AR17" s="186">
        <f>+T17-'[2]Data FY23-24 Final'!T17</f>
        <v>0</v>
      </c>
      <c r="AS17" s="186">
        <f>+U17-'[2]Data FY23-24 Final'!U17</f>
        <v>0</v>
      </c>
      <c r="AT17" s="186">
        <f>+V17-'[2]Data FY23-24 Final'!V17</f>
        <v>0</v>
      </c>
      <c r="AU17" s="186">
        <f>+W17-'[2]Data FY23-24 Final'!W17</f>
        <v>-37.171315867933295</v>
      </c>
      <c r="AV17" s="186">
        <f>+X17-'[2]Data FY23-24 Final'!X17</f>
        <v>0</v>
      </c>
      <c r="AW17" s="161">
        <f>+Y17-'[2]Data FY23-24 Final'!Y17</f>
        <v>13834676.755999982</v>
      </c>
      <c r="AX17" s="161">
        <f>+Z17-'[2]Data FY23-24 Final'!Z17</f>
        <v>5376611.1656999588</v>
      </c>
    </row>
    <row r="18" spans="1:50" s="154" customFormat="1" ht="13" x14ac:dyDescent="0.3">
      <c r="A18" s="187" t="s">
        <v>108</v>
      </c>
      <c r="B18" s="187" t="s">
        <v>96</v>
      </c>
      <c r="C18" s="194" t="s">
        <v>109</v>
      </c>
      <c r="D18" s="349">
        <v>71864018</v>
      </c>
      <c r="E18" s="349">
        <v>0</v>
      </c>
      <c r="F18" s="349">
        <v>71864018</v>
      </c>
      <c r="G18" s="350">
        <v>14109.119999999999</v>
      </c>
      <c r="H18" s="348">
        <v>27</v>
      </c>
      <c r="I18" s="348">
        <v>0</v>
      </c>
      <c r="J18" s="210">
        <f t="shared" si="1"/>
        <v>27</v>
      </c>
      <c r="K18" s="185">
        <v>0</v>
      </c>
      <c r="L18" s="197">
        <v>0</v>
      </c>
      <c r="M18" s="185">
        <v>0</v>
      </c>
      <c r="N18" s="210">
        <v>0</v>
      </c>
      <c r="O18" s="316">
        <v>0</v>
      </c>
      <c r="P18" s="211">
        <f t="shared" si="2"/>
        <v>0.19633079798015188</v>
      </c>
      <c r="Q18" s="317">
        <f t="shared" si="3"/>
        <v>27.196330797980153</v>
      </c>
      <c r="R18" s="196"/>
      <c r="S18" s="196"/>
      <c r="T18" s="196"/>
      <c r="U18" s="196"/>
      <c r="V18" s="196"/>
      <c r="W18" s="196">
        <f t="shared" si="4"/>
        <v>27.196330797980153</v>
      </c>
      <c r="X18" s="185">
        <v>741.23399999999992</v>
      </c>
      <c r="Y18" s="220">
        <v>54928039.439999998</v>
      </c>
      <c r="Z18" s="220">
        <v>52818494.861354999</v>
      </c>
      <c r="AB18" s="161">
        <f>+D18-'[2]Data FY23-24 Final'!D18</f>
        <v>3100870</v>
      </c>
      <c r="AC18" s="161">
        <f>+E18-'[2]Data FY23-24 Final'!E18</f>
        <v>0</v>
      </c>
      <c r="AD18" s="161">
        <f>+F18-'[2]Data FY23-24 Final'!F18</f>
        <v>3100870</v>
      </c>
      <c r="AE18" s="161">
        <f>+G18-'[2]Data FY23-24 Final'!G18</f>
        <v>13696.119999999999</v>
      </c>
      <c r="AF18" s="186">
        <f>+H18-'[2]Data FY23-24 Final'!H18</f>
        <v>0</v>
      </c>
      <c r="AG18" s="186">
        <f>+I18-'[2]Data FY23-24 Final'!I18</f>
        <v>-9.0999999999999998E-2</v>
      </c>
      <c r="AH18" s="186">
        <f>+J18-'[2]Data FY23-24 Final'!J18</f>
        <v>9.100000000000108E-2</v>
      </c>
      <c r="AI18" s="186">
        <f>+K18-'[2]Data FY23-24 Final'!K18</f>
        <v>0</v>
      </c>
      <c r="AJ18" s="186">
        <f>+L18-'[2]Data FY23-24 Final'!L18</f>
        <v>0</v>
      </c>
      <c r="AK18" s="186">
        <f>+M18-'[2]Data FY23-24 Final'!M18</f>
        <v>0</v>
      </c>
      <c r="AL18" s="186">
        <f>+N18-'[2]Data FY23-24 Final'!N18</f>
        <v>0</v>
      </c>
      <c r="AM18" s="186">
        <f>+O18-'[2]Data FY23-24 Final'!O18</f>
        <v>-3.4950000000000001</v>
      </c>
      <c r="AN18" s="186">
        <f>+P18-'[2]Data FY23-24 Final'!P18</f>
        <v>0.19033079798015187</v>
      </c>
      <c r="AO18" s="186">
        <f>+Q18-'[2]Data FY23-24 Final'!Q18</f>
        <v>-3.2136692020198474</v>
      </c>
      <c r="AP18" s="186">
        <f>+R18-'[2]Data FY23-24 Final'!R18</f>
        <v>0</v>
      </c>
      <c r="AQ18" s="186">
        <f>+S18-'[2]Data FY23-24 Final'!S18</f>
        <v>0</v>
      </c>
      <c r="AR18" s="186">
        <f>+T18-'[2]Data FY23-24 Final'!T18</f>
        <v>0</v>
      </c>
      <c r="AS18" s="186">
        <f>+U18-'[2]Data FY23-24 Final'!U18</f>
        <v>0</v>
      </c>
      <c r="AT18" s="186">
        <f>+V18-'[2]Data FY23-24 Final'!V18</f>
        <v>0</v>
      </c>
      <c r="AU18" s="186">
        <f>+W18-'[2]Data FY23-24 Final'!W18</f>
        <v>-3.2136692020198474</v>
      </c>
      <c r="AV18" s="186">
        <f>+X18-'[2]Data FY23-24 Final'!X18</f>
        <v>0</v>
      </c>
      <c r="AW18" s="161">
        <f>+Y18-'[2]Data FY23-24 Final'!Y18</f>
        <v>-7594103.9900000021</v>
      </c>
      <c r="AX18" s="161">
        <f>+Z18-'[2]Data FY23-24 Final'!Z18</f>
        <v>-7742651.6091130003</v>
      </c>
    </row>
    <row r="19" spans="1:50" s="154" customFormat="1" ht="13" x14ac:dyDescent="0.3">
      <c r="A19" s="187" t="s">
        <v>110</v>
      </c>
      <c r="B19" s="187" t="s">
        <v>111</v>
      </c>
      <c r="C19" s="194" t="s">
        <v>111</v>
      </c>
      <c r="D19" s="349">
        <v>569830900</v>
      </c>
      <c r="E19" s="349">
        <v>0</v>
      </c>
      <c r="F19" s="349">
        <v>569830900</v>
      </c>
      <c r="G19" s="350">
        <v>55156.020000000004</v>
      </c>
      <c r="H19" s="348">
        <v>27</v>
      </c>
      <c r="I19" s="348">
        <v>1.9859999999999971</v>
      </c>
      <c r="J19" s="210">
        <f t="shared" si="1"/>
        <v>25.014000000000003</v>
      </c>
      <c r="K19" s="185">
        <v>0</v>
      </c>
      <c r="L19" s="197">
        <v>0</v>
      </c>
      <c r="M19" s="185">
        <v>0</v>
      </c>
      <c r="N19" s="210">
        <v>0</v>
      </c>
      <c r="O19" s="316">
        <v>0</v>
      </c>
      <c r="P19" s="211">
        <f t="shared" si="2"/>
        <v>9.6793662821724843E-2</v>
      </c>
      <c r="Q19" s="317">
        <f t="shared" si="3"/>
        <v>25.110793662821727</v>
      </c>
      <c r="R19" s="196"/>
      <c r="S19" s="196"/>
      <c r="T19" s="196"/>
      <c r="U19" s="196"/>
      <c r="V19" s="196"/>
      <c r="W19" s="196">
        <f t="shared" si="4"/>
        <v>25.110793662821727</v>
      </c>
      <c r="X19" s="185">
        <v>28.763000000000002</v>
      </c>
      <c r="Y19" s="220">
        <v>17942785.879999999</v>
      </c>
      <c r="Z19" s="220">
        <v>2821187.6555999988</v>
      </c>
      <c r="AB19" s="161">
        <f>+D19-'[2]Data FY23-24 Final'!D19</f>
        <v>5332570</v>
      </c>
      <c r="AC19" s="161">
        <f>+E19-'[2]Data FY23-24 Final'!E19</f>
        <v>0</v>
      </c>
      <c r="AD19" s="161">
        <f>+F19-'[2]Data FY23-24 Final'!F19</f>
        <v>5332570</v>
      </c>
      <c r="AE19" s="161">
        <f>+G19-'[2]Data FY23-24 Final'!G19</f>
        <v>21669.370000000003</v>
      </c>
      <c r="AF19" s="186">
        <f>+H19-'[2]Data FY23-24 Final'!H19</f>
        <v>0</v>
      </c>
      <c r="AG19" s="186">
        <f>+I19-'[2]Data FY23-24 Final'!I19</f>
        <v>-1.0000000000000031</v>
      </c>
      <c r="AH19" s="186">
        <f>+J19-'[2]Data FY23-24 Final'!J19</f>
        <v>1.0000000000000036</v>
      </c>
      <c r="AI19" s="186">
        <f>+K19-'[2]Data FY23-24 Final'!K19</f>
        <v>0</v>
      </c>
      <c r="AJ19" s="186">
        <f>+L19-'[2]Data FY23-24 Final'!L19</f>
        <v>0</v>
      </c>
      <c r="AK19" s="186">
        <f>+M19-'[2]Data FY23-24 Final'!M19</f>
        <v>0</v>
      </c>
      <c r="AL19" s="186">
        <f>+N19-'[2]Data FY23-24 Final'!N19</f>
        <v>0</v>
      </c>
      <c r="AM19" s="186">
        <f>+O19-'[2]Data FY23-24 Final'!O19</f>
        <v>-3.012</v>
      </c>
      <c r="AN19" s="186">
        <f>+P19-'[2]Data FY23-24 Final'!P19</f>
        <v>3.7793662821724847E-2</v>
      </c>
      <c r="AO19" s="186">
        <f>+Q19-'[2]Data FY23-24 Final'!Q19</f>
        <v>-1.9742063371782734</v>
      </c>
      <c r="AP19" s="186">
        <f>+R19-'[2]Data FY23-24 Final'!R19</f>
        <v>0</v>
      </c>
      <c r="AQ19" s="186">
        <f>+S19-'[2]Data FY23-24 Final'!S19</f>
        <v>0</v>
      </c>
      <c r="AR19" s="186">
        <f>+T19-'[2]Data FY23-24 Final'!T19</f>
        <v>0</v>
      </c>
      <c r="AS19" s="186">
        <f>+U19-'[2]Data FY23-24 Final'!U19</f>
        <v>0</v>
      </c>
      <c r="AT19" s="186">
        <f>+V19-'[2]Data FY23-24 Final'!V19</f>
        <v>0</v>
      </c>
      <c r="AU19" s="186">
        <f>+W19-'[2]Data FY23-24 Final'!W19</f>
        <v>-1.9742063371782734</v>
      </c>
      <c r="AV19" s="186">
        <f>+X19-'[2]Data FY23-24 Final'!X19</f>
        <v>0</v>
      </c>
      <c r="AW19" s="161">
        <f>+Y19-'[2]Data FY23-24 Final'!Y19</f>
        <v>231130.62999999896</v>
      </c>
      <c r="AX19" s="161">
        <f>+Z19-'[2]Data FY23-24 Final'!Z19</f>
        <v>-447596.33778000157</v>
      </c>
    </row>
    <row r="20" spans="1:50" s="154" customFormat="1" ht="13" x14ac:dyDescent="0.3">
      <c r="A20" s="187" t="s">
        <v>112</v>
      </c>
      <c r="B20" s="187" t="s">
        <v>113</v>
      </c>
      <c r="C20" s="194" t="s">
        <v>114</v>
      </c>
      <c r="D20" s="349">
        <v>26383829</v>
      </c>
      <c r="E20" s="349">
        <v>0</v>
      </c>
      <c r="F20" s="349">
        <v>26393829</v>
      </c>
      <c r="G20" s="350">
        <v>354</v>
      </c>
      <c r="H20" s="348">
        <v>27</v>
      </c>
      <c r="I20" s="348">
        <v>3.6989999999999981</v>
      </c>
      <c r="J20" s="210">
        <f t="shared" si="1"/>
        <v>23.301000000000002</v>
      </c>
      <c r="K20" s="185">
        <v>0</v>
      </c>
      <c r="L20" s="197">
        <v>0</v>
      </c>
      <c r="M20" s="185">
        <v>0</v>
      </c>
      <c r="N20" s="210">
        <v>0</v>
      </c>
      <c r="O20" s="316">
        <v>0</v>
      </c>
      <c r="P20" s="211">
        <f t="shared" si="2"/>
        <v>1.3412226016922364E-2</v>
      </c>
      <c r="Q20" s="317">
        <f t="shared" si="3"/>
        <v>23.314412226016923</v>
      </c>
      <c r="R20" s="196"/>
      <c r="S20" s="196"/>
      <c r="T20" s="196"/>
      <c r="U20" s="196"/>
      <c r="V20" s="196"/>
      <c r="W20" s="196">
        <f t="shared" si="4"/>
        <v>23.314412226016923</v>
      </c>
      <c r="X20" s="185">
        <v>107.938</v>
      </c>
      <c r="Y20" s="220">
        <v>2943687.01</v>
      </c>
      <c r="Z20" s="220">
        <v>2296384.7331689997</v>
      </c>
      <c r="AB20" s="161">
        <f>+D20-'[2]Data FY23-24 Final'!D20</f>
        <v>38725</v>
      </c>
      <c r="AC20" s="161">
        <f>+E20-'[2]Data FY23-24 Final'!E20</f>
        <v>0</v>
      </c>
      <c r="AD20" s="161">
        <f>+F20-'[2]Data FY23-24 Final'!F20</f>
        <v>48725</v>
      </c>
      <c r="AE20" s="161">
        <f>+G20-'[2]Data FY23-24 Final'!G20</f>
        <v>-8998</v>
      </c>
      <c r="AF20" s="186">
        <f>+H20-'[2]Data FY23-24 Final'!H20</f>
        <v>0</v>
      </c>
      <c r="AG20" s="186">
        <f>+I20-'[2]Data FY23-24 Final'!I20</f>
        <v>-1.0000000000000018</v>
      </c>
      <c r="AH20" s="186">
        <f>+J20-'[2]Data FY23-24 Final'!J20</f>
        <v>1.0000000000000036</v>
      </c>
      <c r="AI20" s="186">
        <f>+K20-'[2]Data FY23-24 Final'!K20</f>
        <v>0</v>
      </c>
      <c r="AJ20" s="186">
        <f>+L20-'[2]Data FY23-24 Final'!L20</f>
        <v>0</v>
      </c>
      <c r="AK20" s="186">
        <f>+M20-'[2]Data FY23-24 Final'!M20</f>
        <v>0</v>
      </c>
      <c r="AL20" s="186">
        <f>+N20-'[2]Data FY23-24 Final'!N20</f>
        <v>0</v>
      </c>
      <c r="AM20" s="186">
        <f>+O20-'[2]Data FY23-24 Final'!O20</f>
        <v>-6.7889999999999997</v>
      </c>
      <c r="AN20" s="186">
        <f>+P20-'[2]Data FY23-24 Final'!P20</f>
        <v>-0.3415877739830776</v>
      </c>
      <c r="AO20" s="186">
        <f>+Q20-'[2]Data FY23-24 Final'!Q20</f>
        <v>-6.130587773983077</v>
      </c>
      <c r="AP20" s="186">
        <f>+R20-'[2]Data FY23-24 Final'!R20</f>
        <v>-13.664999999999999</v>
      </c>
      <c r="AQ20" s="186">
        <f>+S20-'[2]Data FY23-24 Final'!S20</f>
        <v>0</v>
      </c>
      <c r="AR20" s="186">
        <f>+T20-'[2]Data FY23-24 Final'!T20</f>
        <v>0</v>
      </c>
      <c r="AS20" s="186">
        <f>+U20-'[2]Data FY23-24 Final'!U20</f>
        <v>0</v>
      </c>
      <c r="AT20" s="186">
        <f>+V20-'[2]Data FY23-24 Final'!V20</f>
        <v>0</v>
      </c>
      <c r="AU20" s="186">
        <f>+W20-'[2]Data FY23-24 Final'!W20</f>
        <v>-19.795587773983076</v>
      </c>
      <c r="AV20" s="186">
        <f>+X20-'[2]Data FY23-24 Final'!X20</f>
        <v>0</v>
      </c>
      <c r="AW20" s="161">
        <f>+Y20-'[2]Data FY23-24 Final'!Y20</f>
        <v>-35619.89000000013</v>
      </c>
      <c r="AX20" s="161">
        <f>+Z20-'[2]Data FY23-24 Final'!Z20</f>
        <v>-47539.992527000606</v>
      </c>
    </row>
    <row r="21" spans="1:50" s="154" customFormat="1" ht="13" x14ac:dyDescent="0.3">
      <c r="A21" s="187" t="s">
        <v>115</v>
      </c>
      <c r="B21" s="187" t="s">
        <v>113</v>
      </c>
      <c r="C21" s="194" t="s">
        <v>116</v>
      </c>
      <c r="D21" s="349">
        <v>31798441</v>
      </c>
      <c r="E21" s="349"/>
      <c r="F21" s="349">
        <v>31798441</v>
      </c>
      <c r="G21" s="350">
        <v>0</v>
      </c>
      <c r="H21" s="348">
        <v>26.992000000000001</v>
      </c>
      <c r="I21" s="348">
        <v>4.1909999999999989</v>
      </c>
      <c r="J21" s="210">
        <f t="shared" si="1"/>
        <v>22.801000000000002</v>
      </c>
      <c r="K21" s="185">
        <v>0</v>
      </c>
      <c r="L21" s="197">
        <v>0</v>
      </c>
      <c r="M21" s="185">
        <v>0</v>
      </c>
      <c r="N21" s="210">
        <v>0</v>
      </c>
      <c r="O21" s="316">
        <v>3.3040000000000003</v>
      </c>
      <c r="P21" s="211">
        <f t="shared" si="2"/>
        <v>0</v>
      </c>
      <c r="Q21" s="317">
        <f t="shared" si="3"/>
        <v>26.105000000000004</v>
      </c>
      <c r="R21" s="196"/>
      <c r="S21" s="196"/>
      <c r="T21" s="196"/>
      <c r="U21" s="196"/>
      <c r="V21" s="196"/>
      <c r="W21" s="196">
        <f t="shared" si="4"/>
        <v>26.105000000000004</v>
      </c>
      <c r="X21" s="185">
        <v>36.712000000000003</v>
      </c>
      <c r="Y21" s="220">
        <v>1161026.06</v>
      </c>
      <c r="Z21" s="220">
        <v>451252.10772100004</v>
      </c>
      <c r="AB21" s="161">
        <f>+D21-'[2]Data FY23-24 Final'!D21</f>
        <v>1618943</v>
      </c>
      <c r="AC21" s="161">
        <f>+E21-'[2]Data FY23-24 Final'!E21</f>
        <v>0</v>
      </c>
      <c r="AD21" s="161">
        <f>+F21-'[2]Data FY23-24 Final'!F21</f>
        <v>1618943</v>
      </c>
      <c r="AE21" s="161">
        <f>+G21-'[2]Data FY23-24 Final'!G21</f>
        <v>-987</v>
      </c>
      <c r="AF21" s="186">
        <f>+H21-'[2]Data FY23-24 Final'!H21</f>
        <v>0</v>
      </c>
      <c r="AG21" s="186">
        <f>+I21-'[2]Data FY23-24 Final'!I21</f>
        <v>-1.0000000000000009</v>
      </c>
      <c r="AH21" s="186">
        <f>+J21-'[2]Data FY23-24 Final'!J21</f>
        <v>1.0000000000000036</v>
      </c>
      <c r="AI21" s="186">
        <f>+K21-'[2]Data FY23-24 Final'!K21</f>
        <v>0</v>
      </c>
      <c r="AJ21" s="186">
        <f>+L21-'[2]Data FY23-24 Final'!L21</f>
        <v>0</v>
      </c>
      <c r="AK21" s="186">
        <f>+M21-'[2]Data FY23-24 Final'!M21</f>
        <v>0</v>
      </c>
      <c r="AL21" s="186">
        <f>+N21-'[2]Data FY23-24 Final'!N21</f>
        <v>0</v>
      </c>
      <c r="AM21" s="186">
        <f>+O21-'[2]Data FY23-24 Final'!O21</f>
        <v>3.3040000000000003</v>
      </c>
      <c r="AN21" s="186">
        <f>+P21-'[2]Data FY23-24 Final'!P21</f>
        <v>-3.3000000000000002E-2</v>
      </c>
      <c r="AO21" s="186">
        <f>+Q21-'[2]Data FY23-24 Final'!Q21</f>
        <v>4.2710000000000043</v>
      </c>
      <c r="AP21" s="186">
        <f>+R21-'[2]Data FY23-24 Final'!R21</f>
        <v>0</v>
      </c>
      <c r="AQ21" s="186">
        <f>+S21-'[2]Data FY23-24 Final'!S21</f>
        <v>0</v>
      </c>
      <c r="AR21" s="186">
        <f>+T21-'[2]Data FY23-24 Final'!T21</f>
        <v>0</v>
      </c>
      <c r="AS21" s="186">
        <f>+U21-'[2]Data FY23-24 Final'!U21</f>
        <v>0</v>
      </c>
      <c r="AT21" s="186">
        <f>+V21-'[2]Data FY23-24 Final'!V21</f>
        <v>0</v>
      </c>
      <c r="AU21" s="186">
        <f>+W21-'[2]Data FY23-24 Final'!W21</f>
        <v>4.2710000000000043</v>
      </c>
      <c r="AV21" s="186">
        <f>+X21-'[2]Data FY23-24 Final'!X21</f>
        <v>0</v>
      </c>
      <c r="AW21" s="161">
        <f>+Y21-'[2]Data FY23-24 Final'!Y21</f>
        <v>17173.699999999953</v>
      </c>
      <c r="AX21" s="161">
        <f>+Z21-'[2]Data FY23-24 Final'!Z21</f>
        <v>13899.223618999997</v>
      </c>
    </row>
    <row r="22" spans="1:50" s="154" customFormat="1" ht="13" x14ac:dyDescent="0.3">
      <c r="A22" s="187" t="s">
        <v>117</v>
      </c>
      <c r="B22" s="187" t="s">
        <v>113</v>
      </c>
      <c r="C22" s="194" t="s">
        <v>118</v>
      </c>
      <c r="D22" s="349">
        <v>33334901</v>
      </c>
      <c r="E22" s="349">
        <v>0</v>
      </c>
      <c r="F22" s="349">
        <v>33334901</v>
      </c>
      <c r="G22" s="350">
        <v>267</v>
      </c>
      <c r="H22" s="348">
        <v>27</v>
      </c>
      <c r="I22" s="348">
        <v>0</v>
      </c>
      <c r="J22" s="210">
        <f t="shared" si="1"/>
        <v>27</v>
      </c>
      <c r="K22" s="185">
        <v>0</v>
      </c>
      <c r="L22" s="197">
        <v>0</v>
      </c>
      <c r="M22" s="185">
        <v>0</v>
      </c>
      <c r="N22" s="210">
        <v>0</v>
      </c>
      <c r="O22" s="316">
        <v>0</v>
      </c>
      <c r="P22" s="211">
        <f t="shared" si="2"/>
        <v>8.0096233074158536E-3</v>
      </c>
      <c r="Q22" s="317">
        <f t="shared" si="3"/>
        <v>27.008009623307416</v>
      </c>
      <c r="R22" s="196"/>
      <c r="S22" s="196"/>
      <c r="T22" s="196"/>
      <c r="U22" s="196"/>
      <c r="V22" s="196"/>
      <c r="W22" s="196">
        <f t="shared" si="4"/>
        <v>27.008009623307416</v>
      </c>
      <c r="X22" s="185">
        <v>110.67200000000001</v>
      </c>
      <c r="Y22" s="220">
        <v>3898314.15</v>
      </c>
      <c r="Z22" s="220">
        <v>2880384.7423999999</v>
      </c>
      <c r="AB22" s="161">
        <f>+D22-'[2]Data FY23-24 Final'!D22</f>
        <v>249842</v>
      </c>
      <c r="AC22" s="161">
        <f>+E22-'[2]Data FY23-24 Final'!E22</f>
        <v>0</v>
      </c>
      <c r="AD22" s="161">
        <f>+F22-'[2]Data FY23-24 Final'!F22</f>
        <v>249842</v>
      </c>
      <c r="AE22" s="161">
        <f>+G22-'[2]Data FY23-24 Final'!G22</f>
        <v>267</v>
      </c>
      <c r="AF22" s="186">
        <f>+H22-'[2]Data FY23-24 Final'!H22</f>
        <v>0</v>
      </c>
      <c r="AG22" s="186">
        <f>+I22-'[2]Data FY23-24 Final'!I22</f>
        <v>0</v>
      </c>
      <c r="AH22" s="186">
        <f>+J22-'[2]Data FY23-24 Final'!J22</f>
        <v>0</v>
      </c>
      <c r="AI22" s="186">
        <f>+K22-'[2]Data FY23-24 Final'!K22</f>
        <v>0</v>
      </c>
      <c r="AJ22" s="186">
        <f>+L22-'[2]Data FY23-24 Final'!L22</f>
        <v>0</v>
      </c>
      <c r="AK22" s="186">
        <f>+M22-'[2]Data FY23-24 Final'!M22</f>
        <v>0</v>
      </c>
      <c r="AL22" s="186">
        <f>+N22-'[2]Data FY23-24 Final'!N22</f>
        <v>0</v>
      </c>
      <c r="AM22" s="186">
        <f>+O22-'[2]Data FY23-24 Final'!O22</f>
        <v>0</v>
      </c>
      <c r="AN22" s="186">
        <f>+P22-'[2]Data FY23-24 Final'!P22</f>
        <v>8.0096233074158536E-3</v>
      </c>
      <c r="AO22" s="186">
        <f>+Q22-'[2]Data FY23-24 Final'!Q22</f>
        <v>8.0096233074158363E-3</v>
      </c>
      <c r="AP22" s="186">
        <f>+R22-'[2]Data FY23-24 Final'!R22</f>
        <v>-11.445</v>
      </c>
      <c r="AQ22" s="186">
        <f>+S22-'[2]Data FY23-24 Final'!S22</f>
        <v>0</v>
      </c>
      <c r="AR22" s="186">
        <f>+T22-'[2]Data FY23-24 Final'!T22</f>
        <v>0</v>
      </c>
      <c r="AS22" s="186">
        <f>+U22-'[2]Data FY23-24 Final'!U22</f>
        <v>0</v>
      </c>
      <c r="AT22" s="186">
        <f>+V22-'[2]Data FY23-24 Final'!V22</f>
        <v>0</v>
      </c>
      <c r="AU22" s="186">
        <f>+W22-'[2]Data FY23-24 Final'!W22</f>
        <v>-11.436990376692584</v>
      </c>
      <c r="AV22" s="186">
        <f>+X22-'[2]Data FY23-24 Final'!X22</f>
        <v>0</v>
      </c>
      <c r="AW22" s="161">
        <f>+Y22-'[2]Data FY23-24 Final'!Y22</f>
        <v>26935.319999999832</v>
      </c>
      <c r="AX22" s="161">
        <f>+Z22-'[2]Data FY23-24 Final'!Z22</f>
        <v>-11494.704600000288</v>
      </c>
    </row>
    <row r="23" spans="1:50" s="154" customFormat="1" ht="13" x14ac:dyDescent="0.3">
      <c r="A23" s="187" t="s">
        <v>119</v>
      </c>
      <c r="B23" s="187" t="s">
        <v>113</v>
      </c>
      <c r="C23" s="194" t="s">
        <v>120</v>
      </c>
      <c r="D23" s="349">
        <v>6723958</v>
      </c>
      <c r="E23" s="349">
        <v>0</v>
      </c>
      <c r="F23" s="349">
        <v>6723958</v>
      </c>
      <c r="G23" s="350">
        <v>117</v>
      </c>
      <c r="H23" s="348">
        <v>27</v>
      </c>
      <c r="I23" s="348">
        <v>0</v>
      </c>
      <c r="J23" s="210">
        <f t="shared" si="1"/>
        <v>27</v>
      </c>
      <c r="K23" s="185">
        <v>0</v>
      </c>
      <c r="L23" s="197">
        <v>0</v>
      </c>
      <c r="M23" s="185">
        <v>0</v>
      </c>
      <c r="N23" s="210">
        <v>0</v>
      </c>
      <c r="O23" s="316">
        <v>0</v>
      </c>
      <c r="P23" s="211">
        <f t="shared" si="2"/>
        <v>1.7400465618613324E-2</v>
      </c>
      <c r="Q23" s="317">
        <f t="shared" si="3"/>
        <v>27.017400465618614</v>
      </c>
      <c r="R23" s="196"/>
      <c r="S23" s="196"/>
      <c r="T23" s="196"/>
      <c r="U23" s="196"/>
      <c r="V23" s="196"/>
      <c r="W23" s="196">
        <f t="shared" si="4"/>
        <v>27.017400465618614</v>
      </c>
      <c r="X23" s="185">
        <v>373.803</v>
      </c>
      <c r="Y23" s="220">
        <v>2521154.48</v>
      </c>
      <c r="Z23" s="220">
        <v>2317122.9249</v>
      </c>
      <c r="AB23" s="161">
        <f>+D23-'[2]Data FY23-24 Final'!D23</f>
        <v>120463</v>
      </c>
      <c r="AC23" s="161">
        <f>+E23-'[2]Data FY23-24 Final'!E23</f>
        <v>0</v>
      </c>
      <c r="AD23" s="161">
        <f>+F23-'[2]Data FY23-24 Final'!F23</f>
        <v>120463</v>
      </c>
      <c r="AE23" s="161">
        <f>+G23-'[2]Data FY23-24 Final'!G23</f>
        <v>115</v>
      </c>
      <c r="AF23" s="186">
        <f>+H23-'[2]Data FY23-24 Final'!H23</f>
        <v>0</v>
      </c>
      <c r="AG23" s="186">
        <f>+I23-'[2]Data FY23-24 Final'!I23</f>
        <v>0</v>
      </c>
      <c r="AH23" s="186">
        <f>+J23-'[2]Data FY23-24 Final'!J23</f>
        <v>0</v>
      </c>
      <c r="AI23" s="186">
        <f>+K23-'[2]Data FY23-24 Final'!K23</f>
        <v>0</v>
      </c>
      <c r="AJ23" s="186">
        <f>+L23-'[2]Data FY23-24 Final'!L23</f>
        <v>0</v>
      </c>
      <c r="AK23" s="186">
        <f>+M23-'[2]Data FY23-24 Final'!M23</f>
        <v>0</v>
      </c>
      <c r="AL23" s="186">
        <f>+N23-'[2]Data FY23-24 Final'!N23</f>
        <v>0</v>
      </c>
      <c r="AM23" s="186">
        <f>+O23-'[2]Data FY23-24 Final'!O23</f>
        <v>0</v>
      </c>
      <c r="AN23" s="186">
        <f>+P23-'[2]Data FY23-24 Final'!P23</f>
        <v>1.7400465618613324E-2</v>
      </c>
      <c r="AO23" s="186">
        <f>+Q23-'[2]Data FY23-24 Final'!Q23</f>
        <v>1.7400465618614191E-2</v>
      </c>
      <c r="AP23" s="186">
        <f>+R23-'[2]Data FY23-24 Final'!R23</f>
        <v>0</v>
      </c>
      <c r="AQ23" s="186">
        <f>+S23-'[2]Data FY23-24 Final'!S23</f>
        <v>0</v>
      </c>
      <c r="AR23" s="186">
        <f>+T23-'[2]Data FY23-24 Final'!T23</f>
        <v>0</v>
      </c>
      <c r="AS23" s="186">
        <f>+U23-'[2]Data FY23-24 Final'!U23</f>
        <v>0</v>
      </c>
      <c r="AT23" s="186">
        <f>+V23-'[2]Data FY23-24 Final'!V23</f>
        <v>0</v>
      </c>
      <c r="AU23" s="186">
        <f>+W23-'[2]Data FY23-24 Final'!W23</f>
        <v>1.7400465618614191E-2</v>
      </c>
      <c r="AV23" s="186">
        <f>+X23-'[2]Data FY23-24 Final'!X23</f>
        <v>0</v>
      </c>
      <c r="AW23" s="161">
        <f>+Y23-'[2]Data FY23-24 Final'!Y23</f>
        <v>-859549.94</v>
      </c>
      <c r="AX23" s="161">
        <f>+Z23-'[2]Data FY23-24 Final'!Z23</f>
        <v>-865977.98009999981</v>
      </c>
    </row>
    <row r="24" spans="1:50" s="154" customFormat="1" ht="13" x14ac:dyDescent="0.3">
      <c r="A24" s="187" t="s">
        <v>121</v>
      </c>
      <c r="B24" s="187" t="s">
        <v>113</v>
      </c>
      <c r="C24" s="194" t="s">
        <v>122</v>
      </c>
      <c r="D24" s="349">
        <v>18666723</v>
      </c>
      <c r="E24" s="349">
        <v>0</v>
      </c>
      <c r="F24" s="349">
        <v>18666723</v>
      </c>
      <c r="G24" s="350">
        <v>0</v>
      </c>
      <c r="H24" s="348">
        <v>18.3</v>
      </c>
      <c r="I24" s="348">
        <v>3.5439999999999987</v>
      </c>
      <c r="J24" s="210">
        <f t="shared" si="1"/>
        <v>14.756000000000002</v>
      </c>
      <c r="K24" s="185">
        <v>0</v>
      </c>
      <c r="L24" s="197">
        <v>0</v>
      </c>
      <c r="M24" s="185">
        <v>0.255</v>
      </c>
      <c r="N24" s="210">
        <v>0</v>
      </c>
      <c r="O24" s="316">
        <v>8.222999999999999</v>
      </c>
      <c r="P24" s="211">
        <f t="shared" si="2"/>
        <v>0</v>
      </c>
      <c r="Q24" s="317">
        <f t="shared" si="3"/>
        <v>23.234000000000002</v>
      </c>
      <c r="R24" s="196"/>
      <c r="S24" s="196"/>
      <c r="T24" s="196"/>
      <c r="U24" s="196"/>
      <c r="V24" s="196"/>
      <c r="W24" s="196">
        <f t="shared" si="4"/>
        <v>23.234000000000002</v>
      </c>
      <c r="X24" s="185">
        <v>56.634999999999998</v>
      </c>
      <c r="Y24" s="220">
        <v>1053709.52</v>
      </c>
      <c r="Z24" s="220">
        <v>782177.042304</v>
      </c>
      <c r="AB24" s="161">
        <f>+D24-'[2]Data FY23-24 Final'!D24</f>
        <v>472231</v>
      </c>
      <c r="AC24" s="161">
        <f>+E24-'[2]Data FY23-24 Final'!E24</f>
        <v>0</v>
      </c>
      <c r="AD24" s="161">
        <f>+F24-'[2]Data FY23-24 Final'!F24</f>
        <v>472231</v>
      </c>
      <c r="AE24" s="161">
        <f>+G24-'[2]Data FY23-24 Final'!G24</f>
        <v>-426</v>
      </c>
      <c r="AF24" s="186">
        <f>+H24-'[2]Data FY23-24 Final'!H24</f>
        <v>0</v>
      </c>
      <c r="AG24" s="186">
        <f>+I24-'[2]Data FY23-24 Final'!I24</f>
        <v>-1.0000000000000009</v>
      </c>
      <c r="AH24" s="186">
        <f>+J24-'[2]Data FY23-24 Final'!J24</f>
        <v>1.0000000000000018</v>
      </c>
      <c r="AI24" s="186">
        <f>+K24-'[2]Data FY23-24 Final'!K24</f>
        <v>0</v>
      </c>
      <c r="AJ24" s="186">
        <f>+L24-'[2]Data FY23-24 Final'!L24</f>
        <v>0</v>
      </c>
      <c r="AK24" s="186">
        <f>+M24-'[2]Data FY23-24 Final'!M24</f>
        <v>0</v>
      </c>
      <c r="AL24" s="186">
        <f>+N24-'[2]Data FY23-24 Final'!N24</f>
        <v>0</v>
      </c>
      <c r="AM24" s="186">
        <f>+O24-'[2]Data FY23-24 Final'!O24</f>
        <v>-2.1000000000000796E-2</v>
      </c>
      <c r="AN24" s="186">
        <f>+P24-'[2]Data FY23-24 Final'!P24</f>
        <v>-2.3E-2</v>
      </c>
      <c r="AO24" s="186">
        <f>+Q24-'[2]Data FY23-24 Final'!Q24</f>
        <v>0.95600000000000307</v>
      </c>
      <c r="AP24" s="186">
        <f>+R24-'[2]Data FY23-24 Final'!R24</f>
        <v>0</v>
      </c>
      <c r="AQ24" s="186">
        <f>+S24-'[2]Data FY23-24 Final'!S24</f>
        <v>0</v>
      </c>
      <c r="AR24" s="186">
        <f>+T24-'[2]Data FY23-24 Final'!T24</f>
        <v>0</v>
      </c>
      <c r="AS24" s="186">
        <f>+U24-'[2]Data FY23-24 Final'!U24</f>
        <v>0</v>
      </c>
      <c r="AT24" s="186">
        <f>+V24-'[2]Data FY23-24 Final'!V24</f>
        <v>0</v>
      </c>
      <c r="AU24" s="186">
        <f>+W24-'[2]Data FY23-24 Final'!W24</f>
        <v>0.95600000000000307</v>
      </c>
      <c r="AV24" s="186">
        <f>+X24-'[2]Data FY23-24 Final'!X24</f>
        <v>0</v>
      </c>
      <c r="AW24" s="161">
        <f>+Y24-'[2]Data FY23-24 Final'!Y24</f>
        <v>10172.800000000047</v>
      </c>
      <c r="AX24" s="161">
        <f>+Z24-'[2]Data FY23-24 Final'!Z24</f>
        <v>11078.024256000062</v>
      </c>
    </row>
    <row r="25" spans="1:50" s="154" customFormat="1" x14ac:dyDescent="0.25">
      <c r="A25" s="187" t="s">
        <v>123</v>
      </c>
      <c r="B25" s="187" t="s">
        <v>124</v>
      </c>
      <c r="C25" s="194" t="s">
        <v>125</v>
      </c>
      <c r="D25" s="220">
        <v>74826930</v>
      </c>
      <c r="E25" s="220">
        <v>0</v>
      </c>
      <c r="F25" s="220">
        <f t="shared" ref="F25:F65" si="5">+D25-E25</f>
        <v>74826930</v>
      </c>
      <c r="G25" s="221">
        <v>4173.2</v>
      </c>
      <c r="H25" s="348">
        <v>27</v>
      </c>
      <c r="I25" s="348">
        <v>3.5019999999999989</v>
      </c>
      <c r="J25" s="210">
        <f t="shared" si="1"/>
        <v>23.498000000000001</v>
      </c>
      <c r="K25" s="185">
        <v>0</v>
      </c>
      <c r="L25" s="197">
        <v>0</v>
      </c>
      <c r="M25" s="185">
        <v>0</v>
      </c>
      <c r="N25" s="210">
        <v>0</v>
      </c>
      <c r="O25" s="316">
        <v>0</v>
      </c>
      <c r="P25" s="211">
        <f t="shared" si="2"/>
        <v>5.577136466777402E-2</v>
      </c>
      <c r="Q25" s="317">
        <f t="shared" si="3"/>
        <v>23.553771364667774</v>
      </c>
      <c r="R25" s="196"/>
      <c r="S25" s="196"/>
      <c r="T25" s="196"/>
      <c r="U25" s="196"/>
      <c r="V25" s="196"/>
      <c r="W25" s="196">
        <f t="shared" si="4"/>
        <v>23.553771364667774</v>
      </c>
      <c r="X25" s="185">
        <v>112.17100000000001</v>
      </c>
      <c r="Y25" s="220">
        <v>8527844.4700000007</v>
      </c>
      <c r="Z25" s="220">
        <v>6709935.500860001</v>
      </c>
      <c r="AB25" s="161">
        <f>+D25-'[2]Data FY23-24 Final'!D25</f>
        <v>2937820</v>
      </c>
      <c r="AC25" s="161">
        <f>+E25-'[2]Data FY23-24 Final'!E25</f>
        <v>0</v>
      </c>
      <c r="AD25" s="161">
        <f>+F25-'[2]Data FY23-24 Final'!F25</f>
        <v>2937820</v>
      </c>
      <c r="AE25" s="161">
        <f>+G25-'[2]Data FY23-24 Final'!G25</f>
        <v>0</v>
      </c>
      <c r="AF25" s="186">
        <f>+H25-'[2]Data FY23-24 Final'!H25</f>
        <v>0</v>
      </c>
      <c r="AG25" s="186">
        <f>+I25-'[2]Data FY23-24 Final'!I25</f>
        <v>-1.0000000000000009</v>
      </c>
      <c r="AH25" s="186">
        <f>+J25-'[2]Data FY23-24 Final'!J25</f>
        <v>1</v>
      </c>
      <c r="AI25" s="186">
        <f>+K25-'[2]Data FY23-24 Final'!K25</f>
        <v>0</v>
      </c>
      <c r="AJ25" s="186">
        <f>+L25-'[2]Data FY23-24 Final'!L25</f>
        <v>0</v>
      </c>
      <c r="AK25" s="186">
        <f>+M25-'[2]Data FY23-24 Final'!M25</f>
        <v>0</v>
      </c>
      <c r="AL25" s="186">
        <f>+N25-'[2]Data FY23-24 Final'!N25</f>
        <v>0</v>
      </c>
      <c r="AM25" s="186">
        <f>+O25-'[2]Data FY23-24 Final'!O25</f>
        <v>0</v>
      </c>
      <c r="AN25" s="186">
        <f>+P25-'[2]Data FY23-24 Final'!P25</f>
        <v>5.577136466777402E-2</v>
      </c>
      <c r="AO25" s="186">
        <f>+Q25-'[2]Data FY23-24 Final'!Q25</f>
        <v>1.0557713646677733</v>
      </c>
      <c r="AP25" s="186">
        <f>+R25-'[2]Data FY23-24 Final'!R25</f>
        <v>0</v>
      </c>
      <c r="AQ25" s="186">
        <f>+S25-'[2]Data FY23-24 Final'!S25</f>
        <v>0</v>
      </c>
      <c r="AR25" s="186">
        <f>+T25-'[2]Data FY23-24 Final'!T25</f>
        <v>0</v>
      </c>
      <c r="AS25" s="186">
        <f>+U25-'[2]Data FY23-24 Final'!U25</f>
        <v>0</v>
      </c>
      <c r="AT25" s="186">
        <f>+V25-'[2]Data FY23-24 Final'!V25</f>
        <v>0</v>
      </c>
      <c r="AU25" s="186">
        <f>+W25-'[2]Data FY23-24 Final'!W25</f>
        <v>1.0557713646677733</v>
      </c>
      <c r="AV25" s="186">
        <f>+X25-'[2]Data FY23-24 Final'!X25</f>
        <v>0</v>
      </c>
      <c r="AW25" s="161">
        <f>+Y25-'[2]Data FY23-24 Final'!Y25</f>
        <v>-1862692.0699999984</v>
      </c>
      <c r="AX25" s="161">
        <f>+Z25-'[2]Data FY23-24 Final'!Z25</f>
        <v>-1926230.8723599976</v>
      </c>
    </row>
    <row r="26" spans="1:50" s="154" customFormat="1" x14ac:dyDescent="0.25">
      <c r="A26" s="187" t="s">
        <v>126</v>
      </c>
      <c r="B26" s="187" t="s">
        <v>124</v>
      </c>
      <c r="C26" s="194" t="s">
        <v>127</v>
      </c>
      <c r="D26" s="220">
        <v>27111030</v>
      </c>
      <c r="E26" s="220">
        <v>0</v>
      </c>
      <c r="F26" s="220">
        <f t="shared" si="5"/>
        <v>27111030</v>
      </c>
      <c r="G26" s="221">
        <v>1989.54</v>
      </c>
      <c r="H26" s="348">
        <v>23.59</v>
      </c>
      <c r="I26" s="348">
        <v>0.67499999999999716</v>
      </c>
      <c r="J26" s="210">
        <f t="shared" si="1"/>
        <v>22.915000000000003</v>
      </c>
      <c r="K26" s="185">
        <v>0</v>
      </c>
      <c r="L26" s="197">
        <v>0</v>
      </c>
      <c r="M26" s="185">
        <v>4.6399999999999997</v>
      </c>
      <c r="N26" s="210">
        <v>0</v>
      </c>
      <c r="O26" s="316">
        <v>0</v>
      </c>
      <c r="P26" s="211">
        <f t="shared" si="2"/>
        <v>7.3384891684307077E-2</v>
      </c>
      <c r="Q26" s="317">
        <f t="shared" si="3"/>
        <v>27.628384891684309</v>
      </c>
      <c r="R26" s="196"/>
      <c r="S26" s="196"/>
      <c r="T26" s="196"/>
      <c r="U26" s="196"/>
      <c r="V26" s="196"/>
      <c r="W26" s="196">
        <f t="shared" si="4"/>
        <v>27.628384891684309</v>
      </c>
      <c r="X26" s="185">
        <v>125.68899999999999</v>
      </c>
      <c r="Y26" s="220">
        <v>3467319.42</v>
      </c>
      <c r="Z26" s="220">
        <v>2813428.1371499998</v>
      </c>
      <c r="AB26" s="161">
        <f>+D26-'[2]Data FY23-24 Final'!D26</f>
        <v>573700</v>
      </c>
      <c r="AC26" s="161">
        <f>+E26-'[2]Data FY23-24 Final'!E26</f>
        <v>0</v>
      </c>
      <c r="AD26" s="161">
        <f>+F26-'[2]Data FY23-24 Final'!F26</f>
        <v>573700</v>
      </c>
      <c r="AE26" s="161">
        <f>+G26-'[2]Data FY23-24 Final'!G26</f>
        <v>-0.46000000000003638</v>
      </c>
      <c r="AF26" s="186">
        <f>+H26-'[2]Data FY23-24 Final'!H26</f>
        <v>0</v>
      </c>
      <c r="AG26" s="186">
        <f>+I26-'[2]Data FY23-24 Final'!I26</f>
        <v>-1.0000000000000029</v>
      </c>
      <c r="AH26" s="186">
        <f>+J26-'[2]Data FY23-24 Final'!J26</f>
        <v>1.0000000000000036</v>
      </c>
      <c r="AI26" s="186">
        <f>+K26-'[2]Data FY23-24 Final'!K26</f>
        <v>0</v>
      </c>
      <c r="AJ26" s="186">
        <f>+L26-'[2]Data FY23-24 Final'!L26</f>
        <v>0</v>
      </c>
      <c r="AK26" s="186">
        <f>+M26-'[2]Data FY23-24 Final'!M26</f>
        <v>-0.10000000000000053</v>
      </c>
      <c r="AL26" s="186">
        <f>+N26-'[2]Data FY23-24 Final'!N26</f>
        <v>0</v>
      </c>
      <c r="AM26" s="186">
        <f>+O26-'[2]Data FY23-24 Final'!O26</f>
        <v>0</v>
      </c>
      <c r="AN26" s="186">
        <f>+P26-'[2]Data FY23-24 Final'!P26</f>
        <v>-1.6151083156929202E-3</v>
      </c>
      <c r="AO26" s="186">
        <f>+Q26-'[2]Data FY23-24 Final'!Q26</f>
        <v>0.89838489168430868</v>
      </c>
      <c r="AP26" s="186">
        <f>+R26-'[2]Data FY23-24 Final'!R26</f>
        <v>0</v>
      </c>
      <c r="AQ26" s="186">
        <f>+S26-'[2]Data FY23-24 Final'!S26</f>
        <v>0</v>
      </c>
      <c r="AR26" s="186">
        <f>+T26-'[2]Data FY23-24 Final'!T26</f>
        <v>0</v>
      </c>
      <c r="AS26" s="186">
        <f>+U26-'[2]Data FY23-24 Final'!U26</f>
        <v>0</v>
      </c>
      <c r="AT26" s="186">
        <f>+V26-'[2]Data FY23-24 Final'!V26</f>
        <v>0</v>
      </c>
      <c r="AU26" s="186">
        <f>+W26-'[2]Data FY23-24 Final'!W26</f>
        <v>0.89838489168430868</v>
      </c>
      <c r="AV26" s="186">
        <f>+X26-'[2]Data FY23-24 Final'!X26</f>
        <v>0</v>
      </c>
      <c r="AW26" s="161">
        <f>+Y26-'[2]Data FY23-24 Final'!Y26</f>
        <v>-9187.3999999999069</v>
      </c>
      <c r="AX26" s="161">
        <f>+Z26-'[2]Data FY23-24 Final'!Z26</f>
        <v>-21440.045900000259</v>
      </c>
    </row>
    <row r="27" spans="1:50" s="154" customFormat="1" ht="13" x14ac:dyDescent="0.3">
      <c r="A27" s="187" t="s">
        <v>128</v>
      </c>
      <c r="B27" s="187" t="s">
        <v>129</v>
      </c>
      <c r="C27" s="194" t="s">
        <v>130</v>
      </c>
      <c r="D27" s="349">
        <v>5758430640</v>
      </c>
      <c r="E27" s="349">
        <v>405402032</v>
      </c>
      <c r="F27" s="349">
        <v>5353028608</v>
      </c>
      <c r="G27" s="350">
        <v>1077366.06</v>
      </c>
      <c r="H27" s="348">
        <v>27</v>
      </c>
      <c r="I27" s="348">
        <v>0</v>
      </c>
      <c r="J27" s="210">
        <f t="shared" si="1"/>
        <v>27</v>
      </c>
      <c r="K27" s="185">
        <v>0</v>
      </c>
      <c r="L27" s="197">
        <v>0</v>
      </c>
      <c r="M27" s="185">
        <v>0</v>
      </c>
      <c r="N27" s="210">
        <v>0</v>
      </c>
      <c r="O27" s="316">
        <v>5.077</v>
      </c>
      <c r="P27" s="211">
        <f t="shared" si="2"/>
        <v>0.20126289973304026</v>
      </c>
      <c r="Q27" s="317">
        <f t="shared" si="3"/>
        <v>32.278262899733036</v>
      </c>
      <c r="R27" s="196"/>
      <c r="S27" s="196"/>
      <c r="T27" s="196"/>
      <c r="U27" s="196"/>
      <c r="V27" s="196"/>
      <c r="W27" s="196">
        <f t="shared" si="4"/>
        <v>32.278262899733036</v>
      </c>
      <c r="X27" s="185">
        <v>50.196999999999996</v>
      </c>
      <c r="Y27" s="220">
        <v>328573242.16000003</v>
      </c>
      <c r="Z27" s="220">
        <v>149118577.37030002</v>
      </c>
      <c r="AB27" s="161">
        <f>+D27-'[2]Data FY23-24 Final'!D27</f>
        <v>-835101105</v>
      </c>
      <c r="AC27" s="161">
        <f>+E27-'[2]Data FY23-24 Final'!E27</f>
        <v>-89501172</v>
      </c>
      <c r="AD27" s="161">
        <f>+F27-'[2]Data FY23-24 Final'!F27</f>
        <v>-745599933</v>
      </c>
      <c r="AE27" s="161">
        <f>+G27-'[2]Data FY23-24 Final'!G27</f>
        <v>-583939.1399999999</v>
      </c>
      <c r="AF27" s="186">
        <f>+H27-'[2]Data FY23-24 Final'!H27</f>
        <v>0</v>
      </c>
      <c r="AG27" s="186">
        <f>+I27-'[2]Data FY23-24 Final'!I27</f>
        <v>0</v>
      </c>
      <c r="AH27" s="186">
        <f>+J27-'[2]Data FY23-24 Final'!J27</f>
        <v>0</v>
      </c>
      <c r="AI27" s="186">
        <f>+K27-'[2]Data FY23-24 Final'!K27</f>
        <v>0</v>
      </c>
      <c r="AJ27" s="186">
        <f>+L27-'[2]Data FY23-24 Final'!L27</f>
        <v>0</v>
      </c>
      <c r="AK27" s="186">
        <f>+M27-'[2]Data FY23-24 Final'!M27</f>
        <v>0</v>
      </c>
      <c r="AL27" s="186">
        <f>+N27-'[2]Data FY23-24 Final'!N27</f>
        <v>0</v>
      </c>
      <c r="AM27" s="186">
        <f>+O27-'[2]Data FY23-24 Final'!O27</f>
        <v>-8.1609999999999996</v>
      </c>
      <c r="AN27" s="186">
        <f>+P27-'[2]Data FY23-24 Final'!P27</f>
        <v>-7.0737100266959757E-2</v>
      </c>
      <c r="AO27" s="186">
        <f>+Q27-'[2]Data FY23-24 Final'!Q27</f>
        <v>-8.2317371002669617</v>
      </c>
      <c r="AP27" s="186">
        <f>+R27-'[2]Data FY23-24 Final'!R27</f>
        <v>-16.728000000000002</v>
      </c>
      <c r="AQ27" s="186">
        <f>+S27-'[2]Data FY23-24 Final'!S27</f>
        <v>0</v>
      </c>
      <c r="AR27" s="186">
        <f>+T27-'[2]Data FY23-24 Final'!T27</f>
        <v>0</v>
      </c>
      <c r="AS27" s="186">
        <f>+U27-'[2]Data FY23-24 Final'!U27</f>
        <v>0</v>
      </c>
      <c r="AT27" s="186">
        <f>+V27-'[2]Data FY23-24 Final'!V27</f>
        <v>0</v>
      </c>
      <c r="AU27" s="186">
        <f>+W27-'[2]Data FY23-24 Final'!W27</f>
        <v>-24.959737100266963</v>
      </c>
      <c r="AV27" s="186">
        <f>+X27-'[2]Data FY23-24 Final'!X27</f>
        <v>0</v>
      </c>
      <c r="AW27" s="161">
        <f>+Y27-'[2]Data FY23-24 Final'!Y27</f>
        <v>5913282.1100000143</v>
      </c>
      <c r="AX27" s="161">
        <f>+Z27-'[2]Data FY23-24 Final'!Z27</f>
        <v>-2466647.102699995</v>
      </c>
    </row>
    <row r="28" spans="1:50" s="154" customFormat="1" ht="13" x14ac:dyDescent="0.3">
      <c r="A28" s="187" t="s">
        <v>131</v>
      </c>
      <c r="B28" s="187" t="s">
        <v>129</v>
      </c>
      <c r="C28" s="194" t="s">
        <v>129</v>
      </c>
      <c r="D28" s="349">
        <v>9781695511</v>
      </c>
      <c r="E28" s="349">
        <v>163820571</v>
      </c>
      <c r="F28" s="349">
        <v>9617874940</v>
      </c>
      <c r="G28" s="350">
        <v>3000551.54</v>
      </c>
      <c r="H28" s="348">
        <v>27</v>
      </c>
      <c r="I28" s="348">
        <v>0</v>
      </c>
      <c r="J28" s="210">
        <f t="shared" si="1"/>
        <v>27</v>
      </c>
      <c r="K28" s="185">
        <v>0</v>
      </c>
      <c r="L28" s="197">
        <v>0</v>
      </c>
      <c r="M28" s="185">
        <v>0</v>
      </c>
      <c r="N28" s="210">
        <v>0</v>
      </c>
      <c r="O28" s="316">
        <v>7.4039999999999999</v>
      </c>
      <c r="P28" s="211">
        <f t="shared" si="2"/>
        <v>0.31197656017764774</v>
      </c>
      <c r="Q28" s="317">
        <f t="shared" si="3"/>
        <v>34.715976560177644</v>
      </c>
      <c r="R28" s="196"/>
      <c r="S28" s="196"/>
      <c r="T28" s="196"/>
      <c r="U28" s="351"/>
      <c r="V28" s="351"/>
      <c r="W28" s="196">
        <f t="shared" si="4"/>
        <v>34.715976560177644</v>
      </c>
      <c r="X28" s="185">
        <v>28.071999999999999</v>
      </c>
      <c r="Y28" s="220">
        <v>297342600.48000002</v>
      </c>
      <c r="Z28" s="220">
        <v>10905458.978899999</v>
      </c>
      <c r="AB28" s="161">
        <f>+D28-'[2]Data FY23-24 Final'!D28</f>
        <v>96018522</v>
      </c>
      <c r="AC28" s="161">
        <f>+E28-'[2]Data FY23-24 Final'!E28</f>
        <v>15645565</v>
      </c>
      <c r="AD28" s="161">
        <f>+F28-'[2]Data FY23-24 Final'!F28</f>
        <v>80372957</v>
      </c>
      <c r="AE28" s="161">
        <f>+G28-'[2]Data FY23-24 Final'!G28</f>
        <v>1611785.54</v>
      </c>
      <c r="AF28" s="186">
        <f>+H28-'[2]Data FY23-24 Final'!H28</f>
        <v>0</v>
      </c>
      <c r="AG28" s="186">
        <f>+I28-'[2]Data FY23-24 Final'!I28</f>
        <v>0</v>
      </c>
      <c r="AH28" s="186">
        <f>+J28-'[2]Data FY23-24 Final'!J28</f>
        <v>0</v>
      </c>
      <c r="AI28" s="186">
        <f>+K28-'[2]Data FY23-24 Final'!K28</f>
        <v>0</v>
      </c>
      <c r="AJ28" s="186">
        <f>+L28-'[2]Data FY23-24 Final'!L28</f>
        <v>0</v>
      </c>
      <c r="AK28" s="186">
        <f>+M28-'[2]Data FY23-24 Final'!M28</f>
        <v>0</v>
      </c>
      <c r="AL28" s="186">
        <f>+N28-'[2]Data FY23-24 Final'!N28</f>
        <v>0</v>
      </c>
      <c r="AM28" s="186">
        <f>+O28-'[2]Data FY23-24 Final'!O28</f>
        <v>-0.99799999999999933</v>
      </c>
      <c r="AN28" s="186">
        <f>+P28-'[2]Data FY23-24 Final'!P28</f>
        <v>0.16597656017764775</v>
      </c>
      <c r="AO28" s="186">
        <f>+Q28-'[2]Data FY23-24 Final'!Q28</f>
        <v>-0.8320234398223576</v>
      </c>
      <c r="AP28" s="186">
        <f>+R28-'[2]Data FY23-24 Final'!R28</f>
        <v>-7.7110000000000003</v>
      </c>
      <c r="AQ28" s="186">
        <f>+S28-'[2]Data FY23-24 Final'!S28</f>
        <v>-0.76500000000000001</v>
      </c>
      <c r="AR28" s="186">
        <f>+T28-'[2]Data FY23-24 Final'!T28</f>
        <v>0</v>
      </c>
      <c r="AS28" s="186">
        <f>+U28-'[2]Data FY23-24 Final'!U28</f>
        <v>-4</v>
      </c>
      <c r="AT28" s="186">
        <f>+V28-'[2]Data FY23-24 Final'!V28</f>
        <v>0</v>
      </c>
      <c r="AU28" s="186">
        <f>+W28-'[2]Data FY23-24 Final'!W28</f>
        <v>-13.308023439822357</v>
      </c>
      <c r="AV28" s="186">
        <f>+X28-'[2]Data FY23-24 Final'!X28</f>
        <v>0</v>
      </c>
      <c r="AW28" s="161">
        <f>+Y28-'[2]Data FY23-24 Final'!Y28</f>
        <v>3164535.5699999928</v>
      </c>
      <c r="AX28" s="161">
        <f>+Z28-'[2]Data FY23-24 Final'!Z28</f>
        <v>-14212271.330100017</v>
      </c>
    </row>
    <row r="29" spans="1:50" s="154" customFormat="1" ht="13" x14ac:dyDescent="0.3">
      <c r="A29" s="187" t="s">
        <v>132</v>
      </c>
      <c r="B29" s="187" t="s">
        <v>133</v>
      </c>
      <c r="C29" s="194" t="s">
        <v>134</v>
      </c>
      <c r="D29" s="349">
        <v>414955560</v>
      </c>
      <c r="E29" s="349">
        <v>0</v>
      </c>
      <c r="F29" s="349">
        <v>414955560</v>
      </c>
      <c r="G29" s="350">
        <v>25931.49</v>
      </c>
      <c r="H29" s="348">
        <v>23.149000000000001</v>
      </c>
      <c r="I29" s="348">
        <v>3.1670000000000016</v>
      </c>
      <c r="J29" s="210">
        <f t="shared" si="1"/>
        <v>19.981999999999999</v>
      </c>
      <c r="K29" s="185">
        <v>0</v>
      </c>
      <c r="L29" s="197">
        <v>0</v>
      </c>
      <c r="M29" s="185">
        <v>0</v>
      </c>
      <c r="N29" s="210">
        <v>0</v>
      </c>
      <c r="O29" s="316">
        <v>4.8069999999999995</v>
      </c>
      <c r="P29" s="211">
        <f t="shared" si="2"/>
        <v>6.249221000918749E-2</v>
      </c>
      <c r="Q29" s="317">
        <f t="shared" si="3"/>
        <v>24.851492210009184</v>
      </c>
      <c r="R29" s="196"/>
      <c r="S29" s="196"/>
      <c r="T29" s="196"/>
      <c r="U29" s="196"/>
      <c r="V29" s="196"/>
      <c r="W29" s="196">
        <f t="shared" si="4"/>
        <v>24.851492210009184</v>
      </c>
      <c r="X29" s="185">
        <v>22.533999999999999</v>
      </c>
      <c r="Y29" s="220">
        <v>10378758.529999999</v>
      </c>
      <c r="Z29" s="220">
        <v>1510630.7525999993</v>
      </c>
      <c r="AB29" s="161">
        <f>+D29-'[2]Data FY23-24 Final'!D29</f>
        <v>6667330</v>
      </c>
      <c r="AC29" s="161">
        <f>+E29-'[2]Data FY23-24 Final'!E29</f>
        <v>0</v>
      </c>
      <c r="AD29" s="161">
        <f>+F29-'[2]Data FY23-24 Final'!F29</f>
        <v>6667330</v>
      </c>
      <c r="AE29" s="161">
        <f>+G29-'[2]Data FY23-24 Final'!G29</f>
        <v>22308.22</v>
      </c>
      <c r="AF29" s="186">
        <f>+H29-'[2]Data FY23-24 Final'!H29</f>
        <v>0</v>
      </c>
      <c r="AG29" s="186">
        <f>+I29-'[2]Data FY23-24 Final'!I29</f>
        <v>-0.99999999999999822</v>
      </c>
      <c r="AH29" s="186">
        <f>+J29-'[2]Data FY23-24 Final'!J29</f>
        <v>1</v>
      </c>
      <c r="AI29" s="186">
        <f>+K29-'[2]Data FY23-24 Final'!K29</f>
        <v>0</v>
      </c>
      <c r="AJ29" s="186">
        <f>+L29-'[2]Data FY23-24 Final'!L29</f>
        <v>0</v>
      </c>
      <c r="AK29" s="186">
        <f>+M29-'[2]Data FY23-24 Final'!M29</f>
        <v>0</v>
      </c>
      <c r="AL29" s="186">
        <f>+N29-'[2]Data FY23-24 Final'!N29</f>
        <v>0</v>
      </c>
      <c r="AM29" s="186">
        <f>+O29-'[2]Data FY23-24 Final'!O29</f>
        <v>-1.7830000000000004</v>
      </c>
      <c r="AN29" s="186">
        <f>+P29-'[2]Data FY23-24 Final'!P29</f>
        <v>6.249221000918749E-2</v>
      </c>
      <c r="AO29" s="186">
        <f>+Q29-'[2]Data FY23-24 Final'!Q29</f>
        <v>-0.72050778999081544</v>
      </c>
      <c r="AP29" s="186">
        <f>+R29-'[2]Data FY23-24 Final'!R29</f>
        <v>-6.0279999999999996</v>
      </c>
      <c r="AQ29" s="186">
        <f>+S29-'[2]Data FY23-24 Final'!S29</f>
        <v>0</v>
      </c>
      <c r="AR29" s="186">
        <f>+T29-'[2]Data FY23-24 Final'!T29</f>
        <v>0</v>
      </c>
      <c r="AS29" s="186">
        <f>+U29-'[2]Data FY23-24 Final'!U29</f>
        <v>0</v>
      </c>
      <c r="AT29" s="186">
        <f>+V29-'[2]Data FY23-24 Final'!V29</f>
        <v>0</v>
      </c>
      <c r="AU29" s="186">
        <f>+W29-'[2]Data FY23-24 Final'!W29</f>
        <v>-6.7485077899908177</v>
      </c>
      <c r="AV29" s="186">
        <f>+X29-'[2]Data FY23-24 Final'!X29</f>
        <v>0</v>
      </c>
      <c r="AW29" s="161">
        <f>+Y29-'[2]Data FY23-24 Final'!Y29</f>
        <v>168805.13999999873</v>
      </c>
      <c r="AX29" s="161">
        <f>+Z29-'[2]Data FY23-24 Final'!Z29</f>
        <v>-404090.15554000135</v>
      </c>
    </row>
    <row r="30" spans="1:50" s="154" customFormat="1" ht="13" x14ac:dyDescent="0.3">
      <c r="A30" s="187" t="s">
        <v>135</v>
      </c>
      <c r="B30" s="187" t="s">
        <v>133</v>
      </c>
      <c r="C30" s="194" t="s">
        <v>136</v>
      </c>
      <c r="D30" s="349">
        <v>464644313</v>
      </c>
      <c r="E30" s="349">
        <v>0</v>
      </c>
      <c r="F30" s="349">
        <v>464644313</v>
      </c>
      <c r="G30" s="350">
        <v>35416.269999999997</v>
      </c>
      <c r="H30" s="348">
        <v>24.792999999999999</v>
      </c>
      <c r="I30" s="348">
        <v>6.0999999999999979</v>
      </c>
      <c r="J30" s="210">
        <f t="shared" si="1"/>
        <v>18.693000000000001</v>
      </c>
      <c r="K30" s="185">
        <v>0</v>
      </c>
      <c r="L30" s="197">
        <v>0</v>
      </c>
      <c r="M30" s="185">
        <v>0</v>
      </c>
      <c r="N30" s="210">
        <v>0</v>
      </c>
      <c r="O30" s="316">
        <v>5.2090000000000005</v>
      </c>
      <c r="P30" s="211">
        <f t="shared" si="2"/>
        <v>7.6222325355351964E-2</v>
      </c>
      <c r="Q30" s="317">
        <f t="shared" si="3"/>
        <v>23.978222325355354</v>
      </c>
      <c r="R30" s="196"/>
      <c r="S30" s="196"/>
      <c r="T30" s="196"/>
      <c r="U30" s="196"/>
      <c r="V30" s="196"/>
      <c r="W30" s="196">
        <f t="shared" si="4"/>
        <v>23.978222325355354</v>
      </c>
      <c r="X30" s="185">
        <v>28.722999999999999</v>
      </c>
      <c r="Y30" s="220">
        <v>14404236.93</v>
      </c>
      <c r="Z30" s="220">
        <v>5289158.1917749988</v>
      </c>
      <c r="AB30" s="161">
        <f>+D30-'[2]Data FY23-24 Final'!D30</f>
        <v>3535700</v>
      </c>
      <c r="AC30" s="161">
        <f>+E30-'[2]Data FY23-24 Final'!E30</f>
        <v>0</v>
      </c>
      <c r="AD30" s="161">
        <f>+F30-'[2]Data FY23-24 Final'!F30</f>
        <v>3535700</v>
      </c>
      <c r="AE30" s="161">
        <f>+G30-'[2]Data FY23-24 Final'!G30</f>
        <v>25499.269999999997</v>
      </c>
      <c r="AF30" s="186">
        <f>+H30-'[2]Data FY23-24 Final'!H30</f>
        <v>2.8419999999999987</v>
      </c>
      <c r="AG30" s="186">
        <f>+I30-'[2]Data FY23-24 Final'!I30</f>
        <v>-1.0000000000000018</v>
      </c>
      <c r="AH30" s="186">
        <f>+J30-'[2]Data FY23-24 Final'!J30</f>
        <v>1</v>
      </c>
      <c r="AI30" s="186">
        <f>+K30-'[2]Data FY23-24 Final'!K30</f>
        <v>0</v>
      </c>
      <c r="AJ30" s="186">
        <f>+L30-'[2]Data FY23-24 Final'!L30</f>
        <v>0</v>
      </c>
      <c r="AK30" s="186">
        <f>+M30-'[2]Data FY23-24 Final'!M30</f>
        <v>0</v>
      </c>
      <c r="AL30" s="186">
        <f>+N30-'[2]Data FY23-24 Final'!N30</f>
        <v>0</v>
      </c>
      <c r="AM30" s="186">
        <f>+O30-'[2]Data FY23-24 Final'!O30</f>
        <v>-1.0579999999999998</v>
      </c>
      <c r="AN30" s="186">
        <f>+P30-'[2]Data FY23-24 Final'!P30</f>
        <v>5.4222325355351965E-2</v>
      </c>
      <c r="AO30" s="186">
        <f>+Q30-'[2]Data FY23-24 Final'!Q30</f>
        <v>-3.7776746446454013E-3</v>
      </c>
      <c r="AP30" s="186">
        <f>+R30-'[2]Data FY23-24 Final'!R30</f>
        <v>-4.2290000000000001</v>
      </c>
      <c r="AQ30" s="186">
        <f>+S30-'[2]Data FY23-24 Final'!S30</f>
        <v>0</v>
      </c>
      <c r="AR30" s="186">
        <f>+T30-'[2]Data FY23-24 Final'!T30</f>
        <v>0</v>
      </c>
      <c r="AS30" s="186">
        <f>+U30-'[2]Data FY23-24 Final'!U30</f>
        <v>0</v>
      </c>
      <c r="AT30" s="186">
        <f>+V30-'[2]Data FY23-24 Final'!V30</f>
        <v>0</v>
      </c>
      <c r="AU30" s="186">
        <f>+W30-'[2]Data FY23-24 Final'!W30</f>
        <v>-4.2327776746446446</v>
      </c>
      <c r="AV30" s="186">
        <f>+X30-'[2]Data FY23-24 Final'!X30</f>
        <v>0</v>
      </c>
      <c r="AW30" s="161">
        <f>+Y30-'[2]Data FY23-24 Final'!Y30</f>
        <v>1336330.4499999993</v>
      </c>
      <c r="AX30" s="161">
        <f>+Z30-'[2]Data FY23-24 Final'!Z30</f>
        <v>1042476.5715839993</v>
      </c>
    </row>
    <row r="31" spans="1:50" s="154" customFormat="1" x14ac:dyDescent="0.25">
      <c r="A31" s="187" t="s">
        <v>137</v>
      </c>
      <c r="B31" s="187" t="s">
        <v>138</v>
      </c>
      <c r="C31" s="194" t="s">
        <v>139</v>
      </c>
      <c r="D31" s="220">
        <v>53597737</v>
      </c>
      <c r="E31" s="220">
        <v>0</v>
      </c>
      <c r="F31" s="220">
        <f t="shared" si="5"/>
        <v>53597737</v>
      </c>
      <c r="G31" s="221">
        <v>33599.300000000003</v>
      </c>
      <c r="H31" s="348">
        <v>17.88</v>
      </c>
      <c r="I31" s="348">
        <v>6.0659999999999972</v>
      </c>
      <c r="J31" s="210">
        <f t="shared" si="1"/>
        <v>11.814000000000002</v>
      </c>
      <c r="K31" s="185">
        <v>0</v>
      </c>
      <c r="L31" s="197">
        <v>0</v>
      </c>
      <c r="M31" s="185">
        <v>1.3699999999999999</v>
      </c>
      <c r="N31" s="210">
        <v>0</v>
      </c>
      <c r="O31" s="316">
        <v>4.5710000000000006</v>
      </c>
      <c r="P31" s="211">
        <f t="shared" si="2"/>
        <v>0.62687907886857253</v>
      </c>
      <c r="Q31" s="317">
        <f t="shared" si="3"/>
        <v>18.381879078868575</v>
      </c>
      <c r="R31" s="196"/>
      <c r="S31" s="196"/>
      <c r="T31" s="196"/>
      <c r="U31" s="196"/>
      <c r="V31" s="196"/>
      <c r="W31" s="196">
        <f t="shared" si="4"/>
        <v>18.381879078868575</v>
      </c>
      <c r="X31" s="185">
        <v>34.302</v>
      </c>
      <c r="Y31" s="220">
        <v>1885729.95</v>
      </c>
      <c r="Z31" s="220">
        <v>1258922.9330820001</v>
      </c>
      <c r="AB31" s="161">
        <f>+D31-'[2]Data FY23-24 Final'!D31</f>
        <v>693513</v>
      </c>
      <c r="AC31" s="161">
        <f>+E31-'[2]Data FY23-24 Final'!E31</f>
        <v>0</v>
      </c>
      <c r="AD31" s="161">
        <f>+F31-'[2]Data FY23-24 Final'!F31</f>
        <v>693513</v>
      </c>
      <c r="AE31" s="161">
        <f>+G31-'[2]Data FY23-24 Final'!G31</f>
        <v>22172.300000000003</v>
      </c>
      <c r="AF31" s="186">
        <f>+H31-'[2]Data FY23-24 Final'!H31</f>
        <v>0</v>
      </c>
      <c r="AG31" s="186">
        <f>+I31-'[2]Data FY23-24 Final'!I31</f>
        <v>-1.0000000000000027</v>
      </c>
      <c r="AH31" s="186">
        <f>+J31-'[2]Data FY23-24 Final'!J31</f>
        <v>1.0000000000000018</v>
      </c>
      <c r="AI31" s="186">
        <f>+K31-'[2]Data FY23-24 Final'!K31</f>
        <v>0</v>
      </c>
      <c r="AJ31" s="186">
        <f>+L31-'[2]Data FY23-24 Final'!L31</f>
        <v>0</v>
      </c>
      <c r="AK31" s="186">
        <f>+M31-'[2]Data FY23-24 Final'!M31</f>
        <v>-1.8000000000000016E-2</v>
      </c>
      <c r="AL31" s="186">
        <f>+N31-'[2]Data FY23-24 Final'!N31</f>
        <v>0</v>
      </c>
      <c r="AM31" s="186">
        <f>+O31-'[2]Data FY23-24 Final'!O31</f>
        <v>-2.0439999999999996</v>
      </c>
      <c r="AN31" s="186">
        <f>+P31-'[2]Data FY23-24 Final'!P31</f>
        <v>0.41087907886857256</v>
      </c>
      <c r="AO31" s="186">
        <f>+Q31-'[2]Data FY23-24 Final'!Q31</f>
        <v>-0.65112092113142594</v>
      </c>
      <c r="AP31" s="186">
        <f>+R31-'[2]Data FY23-24 Final'!R31</f>
        <v>-11.625</v>
      </c>
      <c r="AQ31" s="186">
        <f>+S31-'[2]Data FY23-24 Final'!S31</f>
        <v>0</v>
      </c>
      <c r="AR31" s="186">
        <f>+T31-'[2]Data FY23-24 Final'!T31</f>
        <v>0</v>
      </c>
      <c r="AS31" s="186">
        <f>+U31-'[2]Data FY23-24 Final'!U31</f>
        <v>0</v>
      </c>
      <c r="AT31" s="186">
        <f>+V31-'[2]Data FY23-24 Final'!V31</f>
        <v>0</v>
      </c>
      <c r="AU31" s="186">
        <f>+W31-'[2]Data FY23-24 Final'!W31</f>
        <v>-12.276120921131426</v>
      </c>
      <c r="AV31" s="186">
        <f>+X31-'[2]Data FY23-24 Final'!X31</f>
        <v>0</v>
      </c>
      <c r="AW31" s="161">
        <f>+Y31-'[2]Data FY23-24 Final'!Y31</f>
        <v>2139.4199999999255</v>
      </c>
      <c r="AX31" s="161">
        <f>+Z31-'[2]Data FY23-24 Final'!Z31</f>
        <v>-6735.0185819999315</v>
      </c>
    </row>
    <row r="32" spans="1:50" s="154" customFormat="1" x14ac:dyDescent="0.25">
      <c r="A32" s="187" t="s">
        <v>140</v>
      </c>
      <c r="B32" s="187" t="s">
        <v>138</v>
      </c>
      <c r="C32" s="194" t="s">
        <v>138</v>
      </c>
      <c r="D32" s="220">
        <v>101100957</v>
      </c>
      <c r="E32" s="220">
        <v>0</v>
      </c>
      <c r="F32" s="220">
        <f t="shared" si="5"/>
        <v>101100957</v>
      </c>
      <c r="G32" s="221">
        <v>1448.86</v>
      </c>
      <c r="H32" s="348">
        <v>15.558</v>
      </c>
      <c r="I32" s="348">
        <v>4.8840000000000003</v>
      </c>
      <c r="J32" s="210">
        <f t="shared" si="1"/>
        <v>10.673999999999999</v>
      </c>
      <c r="K32" s="185">
        <v>0</v>
      </c>
      <c r="L32" s="197">
        <v>0</v>
      </c>
      <c r="M32" s="185">
        <v>0</v>
      </c>
      <c r="N32" s="210">
        <v>0</v>
      </c>
      <c r="O32" s="316">
        <v>2.1549999999999998</v>
      </c>
      <c r="P32" s="211">
        <f t="shared" si="2"/>
        <v>1.4330823792300997E-2</v>
      </c>
      <c r="Q32" s="317">
        <f t="shared" si="3"/>
        <v>12.8433308237923</v>
      </c>
      <c r="R32" s="196"/>
      <c r="S32" s="196"/>
      <c r="T32" s="196"/>
      <c r="U32" s="196"/>
      <c r="V32" s="196"/>
      <c r="W32" s="196">
        <f t="shared" si="4"/>
        <v>12.8433308237923</v>
      </c>
      <c r="X32" s="185">
        <v>30.581</v>
      </c>
      <c r="Y32" s="220">
        <v>3157619.93</v>
      </c>
      <c r="Z32" s="220">
        <v>2113710.3715820001</v>
      </c>
      <c r="AB32" s="161">
        <f>+D32-'[2]Data FY23-24 Final'!D32</f>
        <v>2274896</v>
      </c>
      <c r="AC32" s="161">
        <f>+E32-'[2]Data FY23-24 Final'!E32</f>
        <v>0</v>
      </c>
      <c r="AD32" s="161">
        <f>+F32-'[2]Data FY23-24 Final'!F32</f>
        <v>2274896</v>
      </c>
      <c r="AE32" s="161">
        <f>+G32-'[2]Data FY23-24 Final'!G32</f>
        <v>-5581.14</v>
      </c>
      <c r="AF32" s="186">
        <f>+H32-'[2]Data FY23-24 Final'!H32</f>
        <v>0</v>
      </c>
      <c r="AG32" s="186">
        <f>+I32-'[2]Data FY23-24 Final'!I32</f>
        <v>-1</v>
      </c>
      <c r="AH32" s="186">
        <f>+J32-'[2]Data FY23-24 Final'!J32</f>
        <v>1</v>
      </c>
      <c r="AI32" s="186">
        <f>+K32-'[2]Data FY23-24 Final'!K32</f>
        <v>0</v>
      </c>
      <c r="AJ32" s="186">
        <f>+L32-'[2]Data FY23-24 Final'!L32</f>
        <v>0</v>
      </c>
      <c r="AK32" s="186">
        <f>+M32-'[2]Data FY23-24 Final'!M32</f>
        <v>0</v>
      </c>
      <c r="AL32" s="186">
        <f>+N32-'[2]Data FY23-24 Final'!N32</f>
        <v>0</v>
      </c>
      <c r="AM32" s="186">
        <f>+O32-'[2]Data FY23-24 Final'!O32</f>
        <v>-6.15</v>
      </c>
      <c r="AN32" s="186">
        <f>+P32-'[2]Data FY23-24 Final'!P32</f>
        <v>-5.6669176207698999E-2</v>
      </c>
      <c r="AO32" s="186">
        <f>+Q32-'[2]Data FY23-24 Final'!Q32</f>
        <v>-5.2066691762077006</v>
      </c>
      <c r="AP32" s="186">
        <f>+R32-'[2]Data FY23-24 Final'!R32</f>
        <v>0</v>
      </c>
      <c r="AQ32" s="186">
        <f>+S32-'[2]Data FY23-24 Final'!S32</f>
        <v>0</v>
      </c>
      <c r="AR32" s="186">
        <f>+T32-'[2]Data FY23-24 Final'!T32</f>
        <v>0</v>
      </c>
      <c r="AS32" s="186">
        <f>+U32-'[2]Data FY23-24 Final'!U32</f>
        <v>0</v>
      </c>
      <c r="AT32" s="186">
        <f>+V32-'[2]Data FY23-24 Final'!V32</f>
        <v>0</v>
      </c>
      <c r="AU32" s="186">
        <f>+W32-'[2]Data FY23-24 Final'!W32</f>
        <v>-5.2066691762077006</v>
      </c>
      <c r="AV32" s="186">
        <f>+X32-'[2]Data FY23-24 Final'!X32</f>
        <v>0</v>
      </c>
      <c r="AW32" s="161">
        <f>+Y32-'[2]Data FY23-24 Final'!Y32</f>
        <v>73926.229999999981</v>
      </c>
      <c r="AX32" s="161">
        <f>+Z32-'[2]Data FY23-24 Final'!Z32</f>
        <v>67888.235696000047</v>
      </c>
    </row>
    <row r="33" spans="1:50" s="154" customFormat="1" ht="13" x14ac:dyDescent="0.25">
      <c r="A33" s="187" t="s">
        <v>141</v>
      </c>
      <c r="B33" s="187" t="s">
        <v>142</v>
      </c>
      <c r="C33" s="194" t="s">
        <v>142</v>
      </c>
      <c r="D33" s="318">
        <v>339149480</v>
      </c>
      <c r="E33" s="319"/>
      <c r="F33" s="318">
        <v>1465260</v>
      </c>
      <c r="G33" s="320">
        <v>18.7</v>
      </c>
      <c r="H33" s="348">
        <v>12.484999999999999</v>
      </c>
      <c r="I33" s="348">
        <v>0</v>
      </c>
      <c r="J33" s="210">
        <f t="shared" si="1"/>
        <v>12.484999999999999</v>
      </c>
      <c r="K33" s="185">
        <v>0</v>
      </c>
      <c r="L33" s="197">
        <v>0</v>
      </c>
      <c r="M33" s="185">
        <v>0</v>
      </c>
      <c r="N33" s="210">
        <v>0</v>
      </c>
      <c r="O33" s="316">
        <v>5.3619999999999992</v>
      </c>
      <c r="P33" s="211">
        <f t="shared" si="2"/>
        <v>1.2762240148506068E-2</v>
      </c>
      <c r="Q33" s="317">
        <f t="shared" si="3"/>
        <v>17.859762240148505</v>
      </c>
      <c r="R33" s="196"/>
      <c r="S33" s="196"/>
      <c r="T33" s="196"/>
      <c r="U33" s="196"/>
      <c r="V33" s="196"/>
      <c r="W33" s="196">
        <f t="shared" si="4"/>
        <v>17.859762240148505</v>
      </c>
      <c r="X33" s="185">
        <v>20.96</v>
      </c>
      <c r="Y33" s="220">
        <v>7501624.5700000003</v>
      </c>
      <c r="Z33" s="220">
        <v>2906997.5359000005</v>
      </c>
      <c r="AB33" s="161">
        <f>+D33-'[2]Data FY23-24 Final'!D33</f>
        <v>11548250</v>
      </c>
      <c r="AC33" s="161">
        <f>+E33-'[2]Data FY23-24 Final'!E33</f>
        <v>0</v>
      </c>
      <c r="AD33" s="161">
        <f>+F33-'[2]Data FY23-24 Final'!F33</f>
        <v>-326135970</v>
      </c>
      <c r="AE33" s="161">
        <f>+G33-'[2]Data FY23-24 Final'!G33</f>
        <v>-3260.0800000000004</v>
      </c>
      <c r="AF33" s="186">
        <f>+H33-'[2]Data FY23-24 Final'!H33</f>
        <v>0</v>
      </c>
      <c r="AG33" s="186">
        <f>+I33-'[2]Data FY23-24 Final'!I33</f>
        <v>0</v>
      </c>
      <c r="AH33" s="186">
        <f>+J33-'[2]Data FY23-24 Final'!J33</f>
        <v>0</v>
      </c>
      <c r="AI33" s="186">
        <f>+K33-'[2]Data FY23-24 Final'!K33</f>
        <v>0</v>
      </c>
      <c r="AJ33" s="186">
        <f>+L33-'[2]Data FY23-24 Final'!L33</f>
        <v>0</v>
      </c>
      <c r="AK33" s="186">
        <f>+M33-'[2]Data FY23-24 Final'!M33</f>
        <v>0</v>
      </c>
      <c r="AL33" s="186">
        <f>+N33-'[2]Data FY23-24 Final'!N33</f>
        <v>0</v>
      </c>
      <c r="AM33" s="186">
        <f>+O33-'[2]Data FY23-24 Final'!O33</f>
        <v>-3.1960000000000006</v>
      </c>
      <c r="AN33" s="186">
        <f>+P33-'[2]Data FY23-24 Final'!P33</f>
        <v>2.7622401485060677E-3</v>
      </c>
      <c r="AO33" s="186">
        <f>+Q33-'[2]Data FY23-24 Final'!Q33</f>
        <v>-3.1932377598514954</v>
      </c>
      <c r="AP33" s="186">
        <f>+R33-'[2]Data FY23-24 Final'!R33</f>
        <v>-7.835</v>
      </c>
      <c r="AQ33" s="186">
        <f>+S33-'[2]Data FY23-24 Final'!S33</f>
        <v>0</v>
      </c>
      <c r="AR33" s="186">
        <f>+T33-'[2]Data FY23-24 Final'!T33</f>
        <v>0</v>
      </c>
      <c r="AS33" s="186">
        <f>+U33-'[2]Data FY23-24 Final'!U33</f>
        <v>0</v>
      </c>
      <c r="AT33" s="186">
        <f>+V33-'[2]Data FY23-24 Final'!V33</f>
        <v>0</v>
      </c>
      <c r="AU33" s="186">
        <f>+W33-'[2]Data FY23-24 Final'!W33</f>
        <v>-11.028237759851496</v>
      </c>
      <c r="AV33" s="186">
        <f>+X33-'[2]Data FY23-24 Final'!X33</f>
        <v>0</v>
      </c>
      <c r="AW33" s="161">
        <f>+Y33-'[2]Data FY23-24 Final'!Y33</f>
        <v>185405.97000000067</v>
      </c>
      <c r="AX33" s="161">
        <f>+Z33-'[2]Data FY23-24 Final'!Z33</f>
        <v>-14700.457549999468</v>
      </c>
    </row>
    <row r="34" spans="1:50" s="154" customFormat="1" ht="13" x14ac:dyDescent="0.3">
      <c r="A34" s="187" t="s">
        <v>143</v>
      </c>
      <c r="B34" s="187" t="s">
        <v>144</v>
      </c>
      <c r="C34" s="194" t="s">
        <v>145</v>
      </c>
      <c r="D34" s="349">
        <v>38654926</v>
      </c>
      <c r="E34" s="349">
        <v>0</v>
      </c>
      <c r="F34" s="349">
        <v>38654926</v>
      </c>
      <c r="G34" s="350">
        <v>10088.57</v>
      </c>
      <c r="H34" s="348">
        <v>23.405999999999999</v>
      </c>
      <c r="I34" s="348">
        <v>2.2829999999999977</v>
      </c>
      <c r="J34" s="210">
        <f t="shared" si="1"/>
        <v>21.123000000000001</v>
      </c>
      <c r="K34" s="185">
        <v>0</v>
      </c>
      <c r="L34" s="197">
        <v>0</v>
      </c>
      <c r="M34" s="185">
        <v>4.3959999999999999</v>
      </c>
      <c r="N34" s="210">
        <v>0</v>
      </c>
      <c r="O34" s="316">
        <v>0</v>
      </c>
      <c r="P34" s="211">
        <f t="shared" si="2"/>
        <v>0.26099053973095171</v>
      </c>
      <c r="Q34" s="317">
        <f t="shared" si="3"/>
        <v>25.779990539730953</v>
      </c>
      <c r="R34" s="196"/>
      <c r="S34" s="196"/>
      <c r="T34" s="196"/>
      <c r="U34" s="196"/>
      <c r="V34" s="196"/>
      <c r="W34" s="196">
        <f t="shared" si="4"/>
        <v>25.779990539730953</v>
      </c>
      <c r="X34" s="185">
        <v>249.92400000000001</v>
      </c>
      <c r="Y34" s="220">
        <v>10953895.67</v>
      </c>
      <c r="Z34" s="220">
        <v>9925480.2675599996</v>
      </c>
      <c r="AB34" s="161">
        <f>+D34-'[2]Data FY23-24 Final'!D34</f>
        <v>-370596</v>
      </c>
      <c r="AC34" s="161">
        <f>+E34-'[2]Data FY23-24 Final'!E34</f>
        <v>0</v>
      </c>
      <c r="AD34" s="161">
        <f>+F34-'[2]Data FY23-24 Final'!F34</f>
        <v>-370596</v>
      </c>
      <c r="AE34" s="161">
        <f>+G34-'[2]Data FY23-24 Final'!G34</f>
        <v>7687.57</v>
      </c>
      <c r="AF34" s="186">
        <f>+H34-'[2]Data FY23-24 Final'!H34</f>
        <v>0</v>
      </c>
      <c r="AG34" s="186">
        <f>+I34-'[2]Data FY23-24 Final'!I34</f>
        <v>-1.0000000000000022</v>
      </c>
      <c r="AH34" s="186">
        <f>+J34-'[2]Data FY23-24 Final'!J34</f>
        <v>1</v>
      </c>
      <c r="AI34" s="186">
        <f>+K34-'[2]Data FY23-24 Final'!K34</f>
        <v>0</v>
      </c>
      <c r="AJ34" s="186">
        <f>+L34-'[2]Data FY23-24 Final'!L34</f>
        <v>0</v>
      </c>
      <c r="AK34" s="186">
        <f>+M34-'[2]Data FY23-24 Final'!M34</f>
        <v>-0.46900000000000031</v>
      </c>
      <c r="AL34" s="186">
        <f>+N34-'[2]Data FY23-24 Final'!N34</f>
        <v>0</v>
      </c>
      <c r="AM34" s="186">
        <f>+O34-'[2]Data FY23-24 Final'!O34</f>
        <v>0</v>
      </c>
      <c r="AN34" s="186">
        <f>+P34-'[2]Data FY23-24 Final'!P34</f>
        <v>0.19899053973095171</v>
      </c>
      <c r="AO34" s="186">
        <f>+Q34-'[2]Data FY23-24 Final'!Q34</f>
        <v>0.72999053973095229</v>
      </c>
      <c r="AP34" s="186">
        <f>+R34-'[2]Data FY23-24 Final'!R34</f>
        <v>-10.249000000000001</v>
      </c>
      <c r="AQ34" s="186">
        <f>+S34-'[2]Data FY23-24 Final'!S34</f>
        <v>0</v>
      </c>
      <c r="AR34" s="186">
        <f>+T34-'[2]Data FY23-24 Final'!T34</f>
        <v>0</v>
      </c>
      <c r="AS34" s="186">
        <f>+U34-'[2]Data FY23-24 Final'!U34</f>
        <v>0</v>
      </c>
      <c r="AT34" s="186">
        <f>+V34-'[2]Data FY23-24 Final'!V34</f>
        <v>0</v>
      </c>
      <c r="AU34" s="186">
        <f>+W34-'[2]Data FY23-24 Final'!W34</f>
        <v>-9.5190094602690465</v>
      </c>
      <c r="AV34" s="186">
        <f>+X34-'[2]Data FY23-24 Final'!X34</f>
        <v>0</v>
      </c>
      <c r="AW34" s="161">
        <f>+Y34-'[2]Data FY23-24 Final'!Y34</f>
        <v>230584.93999999948</v>
      </c>
      <c r="AX34" s="161">
        <f>+Z34-'[2]Data FY23-24 Final'!Z34</f>
        <v>150226.6167659983</v>
      </c>
    </row>
    <row r="35" spans="1:50" s="154" customFormat="1" ht="13" x14ac:dyDescent="0.3">
      <c r="A35" s="187" t="s">
        <v>146</v>
      </c>
      <c r="B35" s="187" t="s">
        <v>144</v>
      </c>
      <c r="C35" s="187" t="s">
        <v>147</v>
      </c>
      <c r="D35" s="349">
        <v>10055463</v>
      </c>
      <c r="E35" s="349">
        <v>0</v>
      </c>
      <c r="F35" s="349">
        <v>10055463</v>
      </c>
      <c r="G35" s="350">
        <v>160.59</v>
      </c>
      <c r="H35" s="348">
        <v>27</v>
      </c>
      <c r="I35" s="348">
        <v>0</v>
      </c>
      <c r="J35" s="210">
        <f t="shared" si="1"/>
        <v>27</v>
      </c>
      <c r="K35" s="185">
        <v>0</v>
      </c>
      <c r="L35" s="197">
        <v>0</v>
      </c>
      <c r="M35" s="185">
        <v>0</v>
      </c>
      <c r="N35" s="210">
        <v>0</v>
      </c>
      <c r="O35" s="316">
        <v>0</v>
      </c>
      <c r="P35" s="211">
        <f t="shared" si="2"/>
        <v>1.597042324157525E-2</v>
      </c>
      <c r="Q35" s="317">
        <f t="shared" si="3"/>
        <v>27.015970423241576</v>
      </c>
      <c r="R35" s="196"/>
      <c r="S35" s="196"/>
      <c r="T35" s="196"/>
      <c r="U35" s="196"/>
      <c r="V35" s="196"/>
      <c r="W35" s="196">
        <f t="shared" si="4"/>
        <v>27.015970423241576</v>
      </c>
      <c r="X35" s="185">
        <v>414.90300000000002</v>
      </c>
      <c r="Y35" s="220">
        <v>4733925.58</v>
      </c>
      <c r="Z35" s="220">
        <v>4377741.9563000007</v>
      </c>
      <c r="AB35" s="161">
        <f>+D35-'[2]Data FY23-24 Final'!D35</f>
        <v>10448</v>
      </c>
      <c r="AC35" s="161">
        <f>+E35-'[2]Data FY23-24 Final'!E35</f>
        <v>0</v>
      </c>
      <c r="AD35" s="161">
        <f>+F35-'[2]Data FY23-24 Final'!F35</f>
        <v>10448</v>
      </c>
      <c r="AE35" s="161">
        <f>+G35-'[2]Data FY23-24 Final'!G35</f>
        <v>-2009.41</v>
      </c>
      <c r="AF35" s="186">
        <f>+H35-'[2]Data FY23-24 Final'!H35</f>
        <v>0</v>
      </c>
      <c r="AG35" s="186">
        <f>+I35-'[2]Data FY23-24 Final'!I35</f>
        <v>0</v>
      </c>
      <c r="AH35" s="186">
        <f>+J35-'[2]Data FY23-24 Final'!J35</f>
        <v>0</v>
      </c>
      <c r="AI35" s="186">
        <f>+K35-'[2]Data FY23-24 Final'!K35</f>
        <v>0</v>
      </c>
      <c r="AJ35" s="186">
        <f>+L35-'[2]Data FY23-24 Final'!L35</f>
        <v>0</v>
      </c>
      <c r="AK35" s="186">
        <f>+M35-'[2]Data FY23-24 Final'!M35</f>
        <v>0</v>
      </c>
      <c r="AL35" s="186">
        <f>+N35-'[2]Data FY23-24 Final'!N35</f>
        <v>0</v>
      </c>
      <c r="AM35" s="186">
        <f>+O35-'[2]Data FY23-24 Final'!O35</f>
        <v>0</v>
      </c>
      <c r="AN35" s="186">
        <f>+P35-'[2]Data FY23-24 Final'!P35</f>
        <v>-0.21002957675842476</v>
      </c>
      <c r="AO35" s="186">
        <f>+Q35-'[2]Data FY23-24 Final'!Q35</f>
        <v>-0.21002957675842282</v>
      </c>
      <c r="AP35" s="186">
        <f>+R35-'[2]Data FY23-24 Final'!R35</f>
        <v>-8.86</v>
      </c>
      <c r="AQ35" s="186">
        <f>+S35-'[2]Data FY23-24 Final'!S35</f>
        <v>0</v>
      </c>
      <c r="AR35" s="186">
        <f>+T35-'[2]Data FY23-24 Final'!T35</f>
        <v>0</v>
      </c>
      <c r="AS35" s="186">
        <f>+U35-'[2]Data FY23-24 Final'!U35</f>
        <v>0</v>
      </c>
      <c r="AT35" s="186">
        <f>+V35-'[2]Data FY23-24 Final'!V35</f>
        <v>0</v>
      </c>
      <c r="AU35" s="186">
        <f>+W35-'[2]Data FY23-24 Final'!W35</f>
        <v>-9.0700295767584223</v>
      </c>
      <c r="AV35" s="186">
        <f>+X35-'[2]Data FY23-24 Final'!X35</f>
        <v>0</v>
      </c>
      <c r="AW35" s="161">
        <f>+Y35-'[2]Data FY23-24 Final'!Y35</f>
        <v>-148257.24000000022</v>
      </c>
      <c r="AX35" s="161">
        <f>+Z35-'[2]Data FY23-24 Final'!Z35</f>
        <v>-183152.43869999982</v>
      </c>
    </row>
    <row r="36" spans="1:50" s="154" customFormat="1" ht="13" x14ac:dyDescent="0.3">
      <c r="A36" s="187" t="s">
        <v>148</v>
      </c>
      <c r="B36" s="187" t="s">
        <v>144</v>
      </c>
      <c r="C36" s="194" t="s">
        <v>149</v>
      </c>
      <c r="D36" s="349">
        <v>34091243</v>
      </c>
      <c r="E36" s="349">
        <v>0</v>
      </c>
      <c r="F36" s="349">
        <v>34091243</v>
      </c>
      <c r="G36" s="350">
        <v>2844.1</v>
      </c>
      <c r="H36" s="348">
        <v>27</v>
      </c>
      <c r="I36" s="348">
        <v>4.2119999999999997</v>
      </c>
      <c r="J36" s="210">
        <f t="shared" si="1"/>
        <v>22.788</v>
      </c>
      <c r="K36" s="185">
        <v>0</v>
      </c>
      <c r="L36" s="197">
        <v>0</v>
      </c>
      <c r="M36" s="185">
        <v>0</v>
      </c>
      <c r="N36" s="210">
        <v>0</v>
      </c>
      <c r="O36" s="316">
        <v>0</v>
      </c>
      <c r="P36" s="211">
        <f t="shared" si="2"/>
        <v>8.3426116202333825E-2</v>
      </c>
      <c r="Q36" s="317">
        <f t="shared" si="3"/>
        <v>22.871426116202333</v>
      </c>
      <c r="R36" s="196"/>
      <c r="S36" s="196"/>
      <c r="T36" s="196"/>
      <c r="U36" s="196"/>
      <c r="V36" s="196"/>
      <c r="W36" s="196">
        <f t="shared" si="4"/>
        <v>22.871426116202333</v>
      </c>
      <c r="X36" s="185">
        <v>74.701999999999998</v>
      </c>
      <c r="Y36" s="220">
        <v>2947547.71</v>
      </c>
      <c r="Z36" s="220">
        <v>2004680.2533160001</v>
      </c>
      <c r="AB36" s="161">
        <f>+D36-'[2]Data FY23-24 Final'!D36</f>
        <v>-207292</v>
      </c>
      <c r="AC36" s="161">
        <f>+E36-'[2]Data FY23-24 Final'!E36</f>
        <v>0</v>
      </c>
      <c r="AD36" s="161">
        <f>+F36-'[2]Data FY23-24 Final'!F36</f>
        <v>-207292</v>
      </c>
      <c r="AE36" s="161">
        <f>+G36-'[2]Data FY23-24 Final'!G36</f>
        <v>-2628.9</v>
      </c>
      <c r="AF36" s="186">
        <f>+H36-'[2]Data FY23-24 Final'!H36</f>
        <v>0</v>
      </c>
      <c r="AG36" s="186">
        <f>+I36-'[2]Data FY23-24 Final'!I36</f>
        <v>-1</v>
      </c>
      <c r="AH36" s="186">
        <f>+J36-'[2]Data FY23-24 Final'!J36</f>
        <v>1</v>
      </c>
      <c r="AI36" s="186">
        <f>+K36-'[2]Data FY23-24 Final'!K36</f>
        <v>0</v>
      </c>
      <c r="AJ36" s="186">
        <f>+L36-'[2]Data FY23-24 Final'!L36</f>
        <v>0</v>
      </c>
      <c r="AK36" s="186">
        <f>+M36-'[2]Data FY23-24 Final'!M36</f>
        <v>0</v>
      </c>
      <c r="AL36" s="186">
        <f>+N36-'[2]Data FY23-24 Final'!N36</f>
        <v>0</v>
      </c>
      <c r="AM36" s="186">
        <f>+O36-'[2]Data FY23-24 Final'!O36</f>
        <v>0</v>
      </c>
      <c r="AN36" s="186">
        <f>+P36-'[2]Data FY23-24 Final'!P36</f>
        <v>-7.6573883797666178E-2</v>
      </c>
      <c r="AO36" s="186">
        <f>+Q36-'[2]Data FY23-24 Final'!Q36</f>
        <v>0.92342611620233228</v>
      </c>
      <c r="AP36" s="186">
        <f>+R36-'[2]Data FY23-24 Final'!R36</f>
        <v>-11.954000000000001</v>
      </c>
      <c r="AQ36" s="186">
        <f>+S36-'[2]Data FY23-24 Final'!S36</f>
        <v>0</v>
      </c>
      <c r="AR36" s="186">
        <f>+T36-'[2]Data FY23-24 Final'!T36</f>
        <v>0</v>
      </c>
      <c r="AS36" s="186">
        <f>+U36-'[2]Data FY23-24 Final'!U36</f>
        <v>0</v>
      </c>
      <c r="AT36" s="186">
        <f>+V36-'[2]Data FY23-24 Final'!V36</f>
        <v>0</v>
      </c>
      <c r="AU36" s="186">
        <f>+W36-'[2]Data FY23-24 Final'!W36</f>
        <v>-11.030573883797668</v>
      </c>
      <c r="AV36" s="186">
        <f>+X36-'[2]Data FY23-24 Final'!X36</f>
        <v>0</v>
      </c>
      <c r="AW36" s="161">
        <f>+Y36-'[2]Data FY23-24 Final'!Y36</f>
        <v>-135235.31000000006</v>
      </c>
      <c r="AX36" s="161">
        <f>+Z36-'[2]Data FY23-24 Final'!Z36</f>
        <v>-210000.35610400001</v>
      </c>
    </row>
    <row r="37" spans="1:50" s="154" customFormat="1" x14ac:dyDescent="0.25">
      <c r="A37" s="187" t="s">
        <v>150</v>
      </c>
      <c r="B37" s="187" t="s">
        <v>151</v>
      </c>
      <c r="C37" s="194" t="s">
        <v>152</v>
      </c>
      <c r="D37" s="220">
        <v>69541883</v>
      </c>
      <c r="E37" s="220">
        <v>0</v>
      </c>
      <c r="F37" s="220">
        <f t="shared" si="5"/>
        <v>69541883</v>
      </c>
      <c r="G37" s="221">
        <v>20714.47</v>
      </c>
      <c r="H37" s="348">
        <v>27</v>
      </c>
      <c r="I37" s="348">
        <v>6.7199999999999989</v>
      </c>
      <c r="J37" s="210">
        <f t="shared" si="1"/>
        <v>20.28</v>
      </c>
      <c r="K37" s="185">
        <v>0</v>
      </c>
      <c r="L37" s="197">
        <v>0</v>
      </c>
      <c r="M37" s="185">
        <v>0</v>
      </c>
      <c r="N37" s="210">
        <v>0</v>
      </c>
      <c r="O37" s="316">
        <v>0</v>
      </c>
      <c r="P37" s="211">
        <f t="shared" si="2"/>
        <v>0.29787042148398546</v>
      </c>
      <c r="Q37" s="317">
        <f t="shared" si="3"/>
        <v>20.577870421483986</v>
      </c>
      <c r="R37" s="196"/>
      <c r="S37" s="196"/>
      <c r="T37" s="196"/>
      <c r="U37" s="196"/>
      <c r="V37" s="196"/>
      <c r="W37" s="196">
        <f t="shared" si="4"/>
        <v>20.577870421483986</v>
      </c>
      <c r="X37" s="185">
        <v>46.108000000000004</v>
      </c>
      <c r="Y37" s="220">
        <v>3282580.21</v>
      </c>
      <c r="Z37" s="220">
        <v>1865702.02996</v>
      </c>
      <c r="AB37" s="161">
        <f>+D37-'[2]Data FY23-24 Final'!D37</f>
        <v>2579881</v>
      </c>
      <c r="AC37" s="161">
        <f>+E37-'[2]Data FY23-24 Final'!E37</f>
        <v>0</v>
      </c>
      <c r="AD37" s="161">
        <f>+F37-'[2]Data FY23-24 Final'!F37</f>
        <v>2579881</v>
      </c>
      <c r="AE37" s="161">
        <f>+G37-'[2]Data FY23-24 Final'!G37</f>
        <v>3505.4700000000012</v>
      </c>
      <c r="AF37" s="186">
        <f>+H37-'[2]Data FY23-24 Final'!H37</f>
        <v>0</v>
      </c>
      <c r="AG37" s="186">
        <f>+I37-'[2]Data FY23-24 Final'!I37</f>
        <v>-1.0000000000000009</v>
      </c>
      <c r="AH37" s="186">
        <f>+J37-'[2]Data FY23-24 Final'!J37</f>
        <v>1</v>
      </c>
      <c r="AI37" s="186">
        <f>+K37-'[2]Data FY23-24 Final'!K37</f>
        <v>0</v>
      </c>
      <c r="AJ37" s="186">
        <f>+L37-'[2]Data FY23-24 Final'!L37</f>
        <v>0</v>
      </c>
      <c r="AK37" s="186">
        <f>+M37-'[2]Data FY23-24 Final'!M37</f>
        <v>0</v>
      </c>
      <c r="AL37" s="186">
        <f>+N37-'[2]Data FY23-24 Final'!N37</f>
        <v>0</v>
      </c>
      <c r="AM37" s="186">
        <f>+O37-'[2]Data FY23-24 Final'!O37</f>
        <v>0</v>
      </c>
      <c r="AN37" s="186">
        <f>+P37-'[2]Data FY23-24 Final'!P37</f>
        <v>4.0870421483985453E-2</v>
      </c>
      <c r="AO37" s="186">
        <f>+Q37-'[2]Data FY23-24 Final'!Q37</f>
        <v>1.0408704214839872</v>
      </c>
      <c r="AP37" s="186">
        <f>+R37-'[2]Data FY23-24 Final'!R37</f>
        <v>-6.9560000000000004</v>
      </c>
      <c r="AQ37" s="186">
        <f>+S37-'[2]Data FY23-24 Final'!S37</f>
        <v>0</v>
      </c>
      <c r="AR37" s="186">
        <f>+T37-'[2]Data FY23-24 Final'!T37</f>
        <v>0</v>
      </c>
      <c r="AS37" s="186">
        <f>+U37-'[2]Data FY23-24 Final'!U37</f>
        <v>0</v>
      </c>
      <c r="AT37" s="186">
        <f>+V37-'[2]Data FY23-24 Final'!V37</f>
        <v>0</v>
      </c>
      <c r="AU37" s="186">
        <f>+W37-'[2]Data FY23-24 Final'!W37</f>
        <v>-5.9151295785160123</v>
      </c>
      <c r="AV37" s="186">
        <f>+X37-'[2]Data FY23-24 Final'!X37</f>
        <v>0</v>
      </c>
      <c r="AW37" s="161">
        <f>+Y37-'[2]Data FY23-24 Final'!Y37</f>
        <v>81253.450000000186</v>
      </c>
      <c r="AX37" s="161">
        <f>+Z37-'[2]Data FY23-24 Final'!Z37</f>
        <v>25723.228520000121</v>
      </c>
    </row>
    <row r="38" spans="1:50" s="154" customFormat="1" x14ac:dyDescent="0.25">
      <c r="A38" s="187" t="s">
        <v>153</v>
      </c>
      <c r="B38" s="187" t="s">
        <v>151</v>
      </c>
      <c r="C38" s="194" t="s">
        <v>154</v>
      </c>
      <c r="D38" s="220">
        <v>92762705</v>
      </c>
      <c r="E38" s="220">
        <v>0</v>
      </c>
      <c r="F38" s="220">
        <f t="shared" si="5"/>
        <v>92762705</v>
      </c>
      <c r="G38" s="221">
        <v>647.15</v>
      </c>
      <c r="H38" s="348">
        <v>27</v>
      </c>
      <c r="I38" s="348">
        <v>0</v>
      </c>
      <c r="J38" s="210">
        <f t="shared" si="1"/>
        <v>27</v>
      </c>
      <c r="K38" s="185">
        <v>0</v>
      </c>
      <c r="L38" s="197">
        <v>0</v>
      </c>
      <c r="M38" s="185">
        <v>0</v>
      </c>
      <c r="N38" s="210">
        <v>0</v>
      </c>
      <c r="O38" s="316">
        <v>3.5640000000000001</v>
      </c>
      <c r="P38" s="211">
        <f t="shared" si="2"/>
        <v>6.9764028550051444E-3</v>
      </c>
      <c r="Q38" s="317">
        <f t="shared" si="3"/>
        <v>30.570976402855006</v>
      </c>
      <c r="R38" s="196"/>
      <c r="S38" s="196"/>
      <c r="T38" s="196"/>
      <c r="U38" s="196"/>
      <c r="V38" s="196"/>
      <c r="W38" s="196">
        <f t="shared" si="4"/>
        <v>30.570976402855006</v>
      </c>
      <c r="X38" s="185">
        <v>43.062000000000005</v>
      </c>
      <c r="Y38" s="220">
        <v>4081272.91</v>
      </c>
      <c r="Z38" s="220">
        <v>1489918.8962000001</v>
      </c>
      <c r="AB38" s="161">
        <f>+D38-'[2]Data FY23-24 Final'!D38</f>
        <v>3437110</v>
      </c>
      <c r="AC38" s="161">
        <f>+E38-'[2]Data FY23-24 Final'!E38</f>
        <v>0</v>
      </c>
      <c r="AD38" s="161">
        <f>+F38-'[2]Data FY23-24 Final'!F38</f>
        <v>3437110</v>
      </c>
      <c r="AE38" s="161">
        <f>+G38-'[2]Data FY23-24 Final'!G38</f>
        <v>-58307.85</v>
      </c>
      <c r="AF38" s="186">
        <f>+H38-'[2]Data FY23-24 Final'!H38</f>
        <v>0</v>
      </c>
      <c r="AG38" s="186">
        <f>+I38-'[2]Data FY23-24 Final'!I38</f>
        <v>0</v>
      </c>
      <c r="AH38" s="186">
        <f>+J38-'[2]Data FY23-24 Final'!J38</f>
        <v>0</v>
      </c>
      <c r="AI38" s="186">
        <f>+K38-'[2]Data FY23-24 Final'!K38</f>
        <v>0</v>
      </c>
      <c r="AJ38" s="186">
        <f>+L38-'[2]Data FY23-24 Final'!L38</f>
        <v>0</v>
      </c>
      <c r="AK38" s="186">
        <f>+M38-'[2]Data FY23-24 Final'!M38</f>
        <v>0</v>
      </c>
      <c r="AL38" s="186">
        <f>+N38-'[2]Data FY23-24 Final'!N38</f>
        <v>0</v>
      </c>
      <c r="AM38" s="186">
        <f>+O38-'[2]Data FY23-24 Final'!O38</f>
        <v>-1.5359999999999996</v>
      </c>
      <c r="AN38" s="186">
        <f>+P38-'[2]Data FY23-24 Final'!P38</f>
        <v>-0.65302359714499492</v>
      </c>
      <c r="AO38" s="186">
        <f>+Q38-'[2]Data FY23-24 Final'!Q38</f>
        <v>-2.1890235971449918</v>
      </c>
      <c r="AP38" s="186">
        <f>+R38-'[2]Data FY23-24 Final'!R38</f>
        <v>-11.475</v>
      </c>
      <c r="AQ38" s="186">
        <f>+S38-'[2]Data FY23-24 Final'!S38</f>
        <v>0</v>
      </c>
      <c r="AR38" s="186">
        <f>+T38-'[2]Data FY23-24 Final'!T38</f>
        <v>0</v>
      </c>
      <c r="AS38" s="186">
        <f>+U38-'[2]Data FY23-24 Final'!U38</f>
        <v>0</v>
      </c>
      <c r="AT38" s="186">
        <f>+V38-'[2]Data FY23-24 Final'!V38</f>
        <v>0</v>
      </c>
      <c r="AU38" s="186">
        <f>+W38-'[2]Data FY23-24 Final'!W38</f>
        <v>-13.664023597144993</v>
      </c>
      <c r="AV38" s="186">
        <f>+X38-'[2]Data FY23-24 Final'!X38</f>
        <v>0</v>
      </c>
      <c r="AW38" s="161">
        <f>+Y38-'[2]Data FY23-24 Final'!Y38</f>
        <v>25263.010000000242</v>
      </c>
      <c r="AX38" s="161">
        <f>+Z38-'[2]Data FY23-24 Final'!Z38</f>
        <v>-61559.428799999878</v>
      </c>
    </row>
    <row r="39" spans="1:50" s="154" customFormat="1" ht="13" x14ac:dyDescent="0.3">
      <c r="A39" s="187" t="s">
        <v>155</v>
      </c>
      <c r="B39" s="187" t="s">
        <v>156</v>
      </c>
      <c r="C39" s="194" t="s">
        <v>156</v>
      </c>
      <c r="D39" s="349">
        <v>59724505</v>
      </c>
      <c r="E39" s="349">
        <v>0</v>
      </c>
      <c r="F39" s="349">
        <v>59724505</v>
      </c>
      <c r="G39" s="350">
        <v>0</v>
      </c>
      <c r="H39" s="348">
        <v>27</v>
      </c>
      <c r="I39" s="348">
        <v>6.5509999999999984</v>
      </c>
      <c r="J39" s="210">
        <f t="shared" si="1"/>
        <v>20.449000000000002</v>
      </c>
      <c r="K39" s="185">
        <v>0</v>
      </c>
      <c r="L39" s="197">
        <v>0</v>
      </c>
      <c r="M39" s="185">
        <v>0</v>
      </c>
      <c r="N39" s="210">
        <v>0</v>
      </c>
      <c r="O39" s="316">
        <v>0</v>
      </c>
      <c r="P39" s="211">
        <f t="shared" si="2"/>
        <v>0</v>
      </c>
      <c r="Q39" s="317">
        <f t="shared" si="3"/>
        <v>20.449000000000002</v>
      </c>
      <c r="R39" s="196"/>
      <c r="S39" s="196"/>
      <c r="T39" s="196"/>
      <c r="U39" s="196"/>
      <c r="V39" s="196"/>
      <c r="W39" s="196">
        <f t="shared" si="4"/>
        <v>20.449000000000002</v>
      </c>
      <c r="X39" s="185">
        <v>80.919000000000011</v>
      </c>
      <c r="Y39" s="220">
        <v>4973442.96</v>
      </c>
      <c r="Z39" s="220">
        <v>3695031.0248409999</v>
      </c>
      <c r="AB39" s="161">
        <f>+D39-'[2]Data FY23-24 Final'!D39</f>
        <v>2077817</v>
      </c>
      <c r="AC39" s="161">
        <f>+E39-'[2]Data FY23-24 Final'!E39</f>
        <v>0</v>
      </c>
      <c r="AD39" s="161">
        <f>+F39-'[2]Data FY23-24 Final'!F39</f>
        <v>2077817</v>
      </c>
      <c r="AE39" s="161">
        <f>+G39-'[2]Data FY23-24 Final'!G39</f>
        <v>0</v>
      </c>
      <c r="AF39" s="186">
        <f>+H39-'[2]Data FY23-24 Final'!H39</f>
        <v>0</v>
      </c>
      <c r="AG39" s="186">
        <f>+I39-'[2]Data FY23-24 Final'!I39</f>
        <v>-1.0000000000000018</v>
      </c>
      <c r="AH39" s="186">
        <f>+J39-'[2]Data FY23-24 Final'!J39</f>
        <v>1</v>
      </c>
      <c r="AI39" s="186">
        <f>+K39-'[2]Data FY23-24 Final'!K39</f>
        <v>0</v>
      </c>
      <c r="AJ39" s="186">
        <f>+L39-'[2]Data FY23-24 Final'!L39</f>
        <v>0</v>
      </c>
      <c r="AK39" s="186">
        <f>+M39-'[2]Data FY23-24 Final'!M39</f>
        <v>0</v>
      </c>
      <c r="AL39" s="186">
        <f>+N39-'[2]Data FY23-24 Final'!N39</f>
        <v>0</v>
      </c>
      <c r="AM39" s="186">
        <f>+O39-'[2]Data FY23-24 Final'!O39</f>
        <v>-6</v>
      </c>
      <c r="AN39" s="186">
        <f>+P39-'[2]Data FY23-24 Final'!P39</f>
        <v>0</v>
      </c>
      <c r="AO39" s="186">
        <f>+Q39-'[2]Data FY23-24 Final'!Q39</f>
        <v>-5</v>
      </c>
      <c r="AP39" s="186">
        <f>+R39-'[2]Data FY23-24 Final'!R39</f>
        <v>0</v>
      </c>
      <c r="AQ39" s="186">
        <f>+S39-'[2]Data FY23-24 Final'!S39</f>
        <v>0</v>
      </c>
      <c r="AR39" s="186">
        <f>+T39-'[2]Data FY23-24 Final'!T39</f>
        <v>0</v>
      </c>
      <c r="AS39" s="186">
        <f>+U39-'[2]Data FY23-24 Final'!U39</f>
        <v>0</v>
      </c>
      <c r="AT39" s="186">
        <f>+V39-'[2]Data FY23-24 Final'!V39</f>
        <v>0</v>
      </c>
      <c r="AU39" s="186">
        <f>+W39-'[2]Data FY23-24 Final'!W39</f>
        <v>-5</v>
      </c>
      <c r="AV39" s="186">
        <f>+X39-'[2]Data FY23-24 Final'!X39</f>
        <v>0</v>
      </c>
      <c r="AW39" s="161">
        <f>+Y39-'[2]Data FY23-24 Final'!Y39</f>
        <v>55088.990000000224</v>
      </c>
      <c r="AX39" s="161">
        <f>+Z39-'[2]Data FY23-24 Final'!Z39</f>
        <v>6601.8997530001216</v>
      </c>
    </row>
    <row r="40" spans="1:50" s="154" customFormat="1" ht="13" x14ac:dyDescent="0.3">
      <c r="A40" s="187" t="s">
        <v>157</v>
      </c>
      <c r="B40" s="187" t="s">
        <v>158</v>
      </c>
      <c r="C40" s="187" t="s">
        <v>159</v>
      </c>
      <c r="D40" s="349">
        <v>154826200</v>
      </c>
      <c r="E40" s="349">
        <v>0</v>
      </c>
      <c r="F40" s="349">
        <v>154826200</v>
      </c>
      <c r="G40" s="350">
        <v>152.04</v>
      </c>
      <c r="H40" s="348">
        <v>27</v>
      </c>
      <c r="I40" s="348">
        <v>9.7000000000001307E-2</v>
      </c>
      <c r="J40" s="352">
        <f>+H40-I40-K40-L40</f>
        <v>26.753999999999998</v>
      </c>
      <c r="K40" s="353">
        <v>0.14899999999999999</v>
      </c>
      <c r="L40" s="354">
        <v>0</v>
      </c>
      <c r="M40" s="185">
        <v>0</v>
      </c>
      <c r="N40" s="210">
        <v>0</v>
      </c>
      <c r="O40" s="316">
        <v>0</v>
      </c>
      <c r="P40" s="211">
        <f t="shared" si="2"/>
        <v>9.8200433776712208E-4</v>
      </c>
      <c r="Q40" s="317">
        <f t="shared" si="3"/>
        <v>26.903982004337767</v>
      </c>
      <c r="R40" s="196"/>
      <c r="S40" s="196"/>
      <c r="T40" s="196"/>
      <c r="U40" s="196"/>
      <c r="V40" s="196"/>
      <c r="W40" s="196">
        <f t="shared" si="4"/>
        <v>26.903982004337767</v>
      </c>
      <c r="X40" s="185">
        <v>25.753999999999998</v>
      </c>
      <c r="Y40" s="220">
        <v>4549623.99</v>
      </c>
      <c r="Z40" s="220">
        <v>0</v>
      </c>
      <c r="AB40" s="161">
        <f>+D40-'[2]Data FY23-24 Final'!D40</f>
        <v>5550756</v>
      </c>
      <c r="AC40" s="161">
        <f>+E40-'[2]Data FY23-24 Final'!E40</f>
        <v>0</v>
      </c>
      <c r="AD40" s="161">
        <f>+F40-'[2]Data FY23-24 Final'!F40</f>
        <v>5550756</v>
      </c>
      <c r="AE40" s="161">
        <f>+G40-'[2]Data FY23-24 Final'!G40</f>
        <v>3.039999999999992</v>
      </c>
      <c r="AF40" s="186">
        <f>+H40-'[2]Data FY23-24 Final'!H40</f>
        <v>0</v>
      </c>
      <c r="AG40" s="186">
        <f>+I40-'[2]Data FY23-24 Final'!I40</f>
        <v>-0.99999999999999867</v>
      </c>
      <c r="AH40" s="186">
        <f>+J40-'[2]Data FY23-24 Final'!J40</f>
        <v>0.85099999999999909</v>
      </c>
      <c r="AI40" s="186">
        <f>+K40-'[2]Data FY23-24 Final'!K40</f>
        <v>0.14899999999999999</v>
      </c>
      <c r="AJ40" s="186">
        <f>+L40-'[2]Data FY23-24 Final'!L40</f>
        <v>0</v>
      </c>
      <c r="AK40" s="186">
        <f>+M40-'[2]Data FY23-24 Final'!M40</f>
        <v>0</v>
      </c>
      <c r="AL40" s="186">
        <f>+N40-'[2]Data FY23-24 Final'!N40</f>
        <v>0</v>
      </c>
      <c r="AM40" s="186">
        <f>+O40-'[2]Data FY23-24 Final'!O40</f>
        <v>0</v>
      </c>
      <c r="AN40" s="186">
        <f>+P40-'[2]Data FY23-24 Final'!P40</f>
        <v>-1.7995662232877943E-5</v>
      </c>
      <c r="AO40" s="186">
        <f>+Q40-'[2]Data FY23-24 Final'!Q40</f>
        <v>0.99998200433776674</v>
      </c>
      <c r="AP40" s="186">
        <f>+R40-'[2]Data FY23-24 Final'!R40</f>
        <v>-2.0099999999999998</v>
      </c>
      <c r="AQ40" s="186">
        <f>+S40-'[2]Data FY23-24 Final'!S40</f>
        <v>0</v>
      </c>
      <c r="AR40" s="186">
        <f>+T40-'[2]Data FY23-24 Final'!T40</f>
        <v>0</v>
      </c>
      <c r="AS40" s="186">
        <f>+U40-'[2]Data FY23-24 Final'!U40</f>
        <v>0</v>
      </c>
      <c r="AT40" s="186">
        <f>+V40-'[2]Data FY23-24 Final'!V40</f>
        <v>0</v>
      </c>
      <c r="AU40" s="186">
        <f>+W40-'[2]Data FY23-24 Final'!W40</f>
        <v>-1.0100179956622348</v>
      </c>
      <c r="AV40" s="186">
        <f>+X40-'[2]Data FY23-24 Final'!X40</f>
        <v>0</v>
      </c>
      <c r="AW40" s="161">
        <f>+Y40-'[2]Data FY23-24 Final'!Y40</f>
        <v>25031.799999999814</v>
      </c>
      <c r="AX40" s="161">
        <f>+Z40-'[2]Data FY23-24 Final'!Z40</f>
        <v>-267685.0140680006</v>
      </c>
    </row>
    <row r="41" spans="1:50" s="154" customFormat="1" ht="13" x14ac:dyDescent="0.3">
      <c r="A41" s="187" t="s">
        <v>160</v>
      </c>
      <c r="B41" s="187" t="s">
        <v>161</v>
      </c>
      <c r="C41" s="187" t="s">
        <v>161</v>
      </c>
      <c r="D41" s="349">
        <v>499472481</v>
      </c>
      <c r="E41" s="349">
        <v>751870</v>
      </c>
      <c r="F41" s="349">
        <v>498720641</v>
      </c>
      <c r="G41" s="350">
        <v>46428.93</v>
      </c>
      <c r="H41" s="348">
        <v>27</v>
      </c>
      <c r="I41" s="348">
        <v>0.34399999999999764</v>
      </c>
      <c r="J41" s="210">
        <f t="shared" ref="J41:J73" si="6">+H41-I41</f>
        <v>26.656000000000002</v>
      </c>
      <c r="K41" s="185">
        <v>0</v>
      </c>
      <c r="L41" s="197">
        <v>0</v>
      </c>
      <c r="M41" s="185">
        <v>0</v>
      </c>
      <c r="N41" s="210">
        <v>0</v>
      </c>
      <c r="O41" s="316">
        <v>0</v>
      </c>
      <c r="P41" s="211">
        <f t="shared" si="2"/>
        <v>9.3096066581290757E-2</v>
      </c>
      <c r="Q41" s="317">
        <f t="shared" si="3"/>
        <v>26.749096066581291</v>
      </c>
      <c r="R41" s="196"/>
      <c r="S41" s="196"/>
      <c r="T41" s="196"/>
      <c r="U41" s="196"/>
      <c r="V41" s="196"/>
      <c r="W41" s="196">
        <f t="shared" si="4"/>
        <v>26.749096066581291</v>
      </c>
      <c r="X41" s="185">
        <v>83.00200000000001</v>
      </c>
      <c r="Y41" s="220">
        <v>46728695.710000001</v>
      </c>
      <c r="Z41" s="220">
        <v>31209029.999668002</v>
      </c>
      <c r="AB41" s="161">
        <f>+D41-'[2]Data FY23-24 Final'!D41</f>
        <v>-7115469</v>
      </c>
      <c r="AC41" s="161">
        <f>+E41-'[2]Data FY23-24 Final'!E41</f>
        <v>96102</v>
      </c>
      <c r="AD41" s="161">
        <f>+F41-'[2]Data FY23-24 Final'!F41</f>
        <v>-7211541</v>
      </c>
      <c r="AE41" s="161">
        <f>+G41-'[2]Data FY23-24 Final'!G41</f>
        <v>28367.93</v>
      </c>
      <c r="AF41" s="186">
        <f>+H41-'[2]Data FY23-24 Final'!H41</f>
        <v>0</v>
      </c>
      <c r="AG41" s="186">
        <f>+I41-'[2]Data FY23-24 Final'!I41</f>
        <v>-1.0000000000000024</v>
      </c>
      <c r="AH41" s="186">
        <f>+J41-'[2]Data FY23-24 Final'!J41</f>
        <v>1.0000000000000036</v>
      </c>
      <c r="AI41" s="186">
        <f>+K41-'[2]Data FY23-24 Final'!K41</f>
        <v>0</v>
      </c>
      <c r="AJ41" s="186">
        <f>+L41-'[2]Data FY23-24 Final'!L41</f>
        <v>0</v>
      </c>
      <c r="AK41" s="186">
        <f>+M41-'[2]Data FY23-24 Final'!M41</f>
        <v>0</v>
      </c>
      <c r="AL41" s="186">
        <f>+N41-'[2]Data FY23-24 Final'!N41</f>
        <v>0</v>
      </c>
      <c r="AM41" s="186">
        <f>+O41-'[2]Data FY23-24 Final'!O41</f>
        <v>0</v>
      </c>
      <c r="AN41" s="186">
        <f>+P41-'[2]Data FY23-24 Final'!P41</f>
        <v>5.7096066581290759E-2</v>
      </c>
      <c r="AO41" s="186">
        <f>+Q41-'[2]Data FY23-24 Final'!Q41</f>
        <v>1.0570960665812912</v>
      </c>
      <c r="AP41" s="186">
        <f>+R41-'[2]Data FY23-24 Final'!R41</f>
        <v>-3.9239999999999999</v>
      </c>
      <c r="AQ41" s="186">
        <f>+S41-'[2]Data FY23-24 Final'!S41</f>
        <v>0</v>
      </c>
      <c r="AR41" s="186">
        <f>+T41-'[2]Data FY23-24 Final'!T41</f>
        <v>0</v>
      </c>
      <c r="AS41" s="186">
        <f>+U41-'[2]Data FY23-24 Final'!U41</f>
        <v>0</v>
      </c>
      <c r="AT41" s="186">
        <f>+V41-'[2]Data FY23-24 Final'!V41</f>
        <v>0</v>
      </c>
      <c r="AU41" s="186">
        <f>+W41-'[2]Data FY23-24 Final'!W41</f>
        <v>-2.8669039334187083</v>
      </c>
      <c r="AV41" s="186">
        <f>+X41-'[2]Data FY23-24 Final'!X41</f>
        <v>0</v>
      </c>
      <c r="AW41" s="161">
        <f>+Y41-'[2]Data FY23-24 Final'!Y41</f>
        <v>184779.5700000003</v>
      </c>
      <c r="AX41" s="161">
        <f>+Z41-'[2]Data FY23-24 Final'!Z41</f>
        <v>-774016.65893999487</v>
      </c>
    </row>
    <row r="42" spans="1:50" s="154" customFormat="1" ht="13" x14ac:dyDescent="0.3">
      <c r="A42" s="187" t="s">
        <v>162</v>
      </c>
      <c r="B42" s="187" t="s">
        <v>163</v>
      </c>
      <c r="C42" s="194" t="s">
        <v>163</v>
      </c>
      <c r="D42" s="349">
        <v>27089458450</v>
      </c>
      <c r="E42" s="349">
        <v>1762599653</v>
      </c>
      <c r="F42" s="349">
        <v>25326858797</v>
      </c>
      <c r="G42" s="350">
        <v>168911.31200000001</v>
      </c>
      <c r="H42" s="348">
        <v>27</v>
      </c>
      <c r="I42" s="348">
        <v>0</v>
      </c>
      <c r="J42" s="210">
        <f t="shared" si="6"/>
        <v>27</v>
      </c>
      <c r="K42" s="185">
        <v>0</v>
      </c>
      <c r="L42" s="197">
        <v>0</v>
      </c>
      <c r="M42" s="185">
        <v>0</v>
      </c>
      <c r="N42" s="210">
        <v>0</v>
      </c>
      <c r="O42" s="316">
        <v>4.9790000000000001</v>
      </c>
      <c r="P42" s="211">
        <f t="shared" si="2"/>
        <v>6.6692562766610354E-3</v>
      </c>
      <c r="Q42" s="317">
        <f t="shared" si="3"/>
        <v>31.985669256276662</v>
      </c>
      <c r="R42" s="196"/>
      <c r="S42" s="196"/>
      <c r="T42" s="196"/>
      <c r="U42" s="351"/>
      <c r="V42" s="351"/>
      <c r="W42" s="196">
        <f t="shared" si="4"/>
        <v>31.985669256276662</v>
      </c>
      <c r="X42" s="185">
        <v>34.933</v>
      </c>
      <c r="Y42" s="220">
        <v>947068759.66999996</v>
      </c>
      <c r="Z42" s="220">
        <v>207036967.78489998</v>
      </c>
      <c r="AB42" s="161">
        <f>+D42-'[2]Data FY23-24 Final'!D42</f>
        <v>136906130</v>
      </c>
      <c r="AC42" s="161">
        <f>+E42-'[2]Data FY23-24 Final'!E42</f>
        <v>-10579756</v>
      </c>
      <c r="AD42" s="161">
        <f>+F42-'[2]Data FY23-24 Final'!F42</f>
        <v>147485886</v>
      </c>
      <c r="AE42" s="161">
        <f>+G42-'[2]Data FY23-24 Final'!G42</f>
        <v>-10531513.687999999</v>
      </c>
      <c r="AF42" s="186">
        <f>+H42-'[2]Data FY23-24 Final'!H42</f>
        <v>0</v>
      </c>
      <c r="AG42" s="186">
        <f>+I42-'[2]Data FY23-24 Final'!I42</f>
        <v>0</v>
      </c>
      <c r="AH42" s="186">
        <f>+J42-'[2]Data FY23-24 Final'!J42</f>
        <v>0</v>
      </c>
      <c r="AI42" s="186">
        <f>+K42-'[2]Data FY23-24 Final'!K42</f>
        <v>0</v>
      </c>
      <c r="AJ42" s="186">
        <f>+L42-'[2]Data FY23-24 Final'!L42</f>
        <v>0</v>
      </c>
      <c r="AK42" s="186">
        <f>+M42-'[2]Data FY23-24 Final'!M42</f>
        <v>0</v>
      </c>
      <c r="AL42" s="186">
        <f>+N42-'[2]Data FY23-24 Final'!N42</f>
        <v>0</v>
      </c>
      <c r="AM42" s="186">
        <f>+O42-'[2]Data FY23-24 Final'!O42</f>
        <v>-5.2909999999999995</v>
      </c>
      <c r="AN42" s="186">
        <f>+P42-'[2]Data FY23-24 Final'!P42</f>
        <v>-0.41833074372333895</v>
      </c>
      <c r="AO42" s="186">
        <f>+Q42-'[2]Data FY23-24 Final'!Q42</f>
        <v>-5.7093307437233385</v>
      </c>
      <c r="AP42" s="186">
        <f>+R42-'[2]Data FY23-24 Final'!R42</f>
        <v>-9.843</v>
      </c>
      <c r="AQ42" s="186">
        <f>+S42-'[2]Data FY23-24 Final'!S42</f>
        <v>0</v>
      </c>
      <c r="AR42" s="186">
        <f>+T42-'[2]Data FY23-24 Final'!T42</f>
        <v>-3.173</v>
      </c>
      <c r="AS42" s="186">
        <f>+U42-'[2]Data FY23-24 Final'!U42</f>
        <v>0</v>
      </c>
      <c r="AT42" s="186">
        <f>+V42-'[2]Data FY23-24 Final'!V42</f>
        <v>0</v>
      </c>
      <c r="AU42" s="186">
        <f>+W42-'[2]Data FY23-24 Final'!W42</f>
        <v>-18.725330743723337</v>
      </c>
      <c r="AV42" s="186">
        <f>+X42-'[2]Data FY23-24 Final'!X42</f>
        <v>0</v>
      </c>
      <c r="AW42" s="161">
        <f>+Y42-'[2]Data FY23-24 Final'!Y42</f>
        <v>15533479.9799999</v>
      </c>
      <c r="AX42" s="161">
        <f>+Z42-'[2]Data FY23-24 Final'!Z42</f>
        <v>-9119252.818100065</v>
      </c>
    </row>
    <row r="43" spans="1:50" s="154" customFormat="1" x14ac:dyDescent="0.25">
      <c r="A43" s="187" t="s">
        <v>164</v>
      </c>
      <c r="B43" s="187" t="s">
        <v>165</v>
      </c>
      <c r="C43" s="194" t="s">
        <v>165</v>
      </c>
      <c r="D43" s="220">
        <v>117639381</v>
      </c>
      <c r="E43" s="220">
        <v>0</v>
      </c>
      <c r="F43" s="220">
        <f t="shared" si="5"/>
        <v>117639381</v>
      </c>
      <c r="G43" s="221">
        <v>2110.2600000000002</v>
      </c>
      <c r="H43" s="348">
        <v>18.684999999999999</v>
      </c>
      <c r="I43" s="348">
        <v>0</v>
      </c>
      <c r="J43" s="210">
        <f t="shared" si="6"/>
        <v>18.684999999999999</v>
      </c>
      <c r="K43" s="185">
        <v>0</v>
      </c>
      <c r="L43" s="197">
        <v>0</v>
      </c>
      <c r="M43" s="185">
        <v>0</v>
      </c>
      <c r="N43" s="210">
        <v>0</v>
      </c>
      <c r="O43" s="316">
        <v>0</v>
      </c>
      <c r="P43" s="211">
        <f t="shared" si="2"/>
        <v>1.7938380685631118E-2</v>
      </c>
      <c r="Q43" s="317">
        <f t="shared" si="3"/>
        <v>18.70293838068563</v>
      </c>
      <c r="R43" s="196"/>
      <c r="S43" s="196"/>
      <c r="T43" s="196"/>
      <c r="U43" s="196"/>
      <c r="V43" s="196"/>
      <c r="W43" s="196">
        <f t="shared" si="4"/>
        <v>18.70293838068563</v>
      </c>
      <c r="X43" s="185">
        <v>33.027999999999999</v>
      </c>
      <c r="Y43" s="220">
        <v>3997957.9</v>
      </c>
      <c r="Z43" s="220">
        <v>1702098.6997209999</v>
      </c>
      <c r="AB43" s="161">
        <f>+D43-'[2]Data FY23-24 Final'!D43</f>
        <v>3718892</v>
      </c>
      <c r="AC43" s="161">
        <f>+E43-'[2]Data FY23-24 Final'!E43</f>
        <v>0</v>
      </c>
      <c r="AD43" s="161">
        <f>+F43-'[2]Data FY23-24 Final'!F43</f>
        <v>3718892</v>
      </c>
      <c r="AE43" s="161">
        <f>+G43-'[2]Data FY23-24 Final'!G43</f>
        <v>0.26000000000021828</v>
      </c>
      <c r="AF43" s="186">
        <f>+H43-'[2]Data FY23-24 Final'!H43</f>
        <v>0</v>
      </c>
      <c r="AG43" s="186">
        <f>+I43-'[2]Data FY23-24 Final'!I43</f>
        <v>-0.126</v>
      </c>
      <c r="AH43" s="186">
        <f>+J43-'[2]Data FY23-24 Final'!J43</f>
        <v>0.12599999999999767</v>
      </c>
      <c r="AI43" s="186">
        <f>+K43-'[2]Data FY23-24 Final'!K43</f>
        <v>0</v>
      </c>
      <c r="AJ43" s="186">
        <f>+L43-'[2]Data FY23-24 Final'!L43</f>
        <v>0</v>
      </c>
      <c r="AK43" s="186">
        <f>+M43-'[2]Data FY23-24 Final'!M43</f>
        <v>0</v>
      </c>
      <c r="AL43" s="186">
        <f>+N43-'[2]Data FY23-24 Final'!N43</f>
        <v>0</v>
      </c>
      <c r="AM43" s="186">
        <f>+O43-'[2]Data FY23-24 Final'!O43</f>
        <v>-3</v>
      </c>
      <c r="AN43" s="186">
        <f>+P43-'[2]Data FY23-24 Final'!P43</f>
        <v>-1.0616193143688814E-3</v>
      </c>
      <c r="AO43" s="186">
        <f>+Q43-'[2]Data FY23-24 Final'!Q43</f>
        <v>-2.8750616193143692</v>
      </c>
      <c r="AP43" s="186">
        <f>+R43-'[2]Data FY23-24 Final'!R43</f>
        <v>-7.593</v>
      </c>
      <c r="AQ43" s="186">
        <f>+S43-'[2]Data FY23-24 Final'!S43</f>
        <v>0</v>
      </c>
      <c r="AR43" s="186">
        <f>+T43-'[2]Data FY23-24 Final'!T43</f>
        <v>0</v>
      </c>
      <c r="AS43" s="186">
        <f>+U43-'[2]Data FY23-24 Final'!U43</f>
        <v>0</v>
      </c>
      <c r="AT43" s="186">
        <f>+V43-'[2]Data FY23-24 Final'!V43</f>
        <v>0</v>
      </c>
      <c r="AU43" s="186">
        <f>+W43-'[2]Data FY23-24 Final'!W43</f>
        <v>-10.468061619314369</v>
      </c>
      <c r="AV43" s="186">
        <f>+X43-'[2]Data FY23-24 Final'!X43</f>
        <v>0</v>
      </c>
      <c r="AW43" s="161">
        <f>+Y43-'[2]Data FY23-24 Final'!Y43</f>
        <v>104655.33999999985</v>
      </c>
      <c r="AX43" s="161">
        <f>+Z43-'[2]Data FY23-24 Final'!Z43</f>
        <v>14882.255071999971</v>
      </c>
    </row>
    <row r="44" spans="1:50" s="154" customFormat="1" x14ac:dyDescent="0.25">
      <c r="A44" s="187" t="s">
        <v>166</v>
      </c>
      <c r="B44" s="187" t="s">
        <v>167</v>
      </c>
      <c r="C44" s="194" t="s">
        <v>167</v>
      </c>
      <c r="D44" s="220">
        <v>10899201184</v>
      </c>
      <c r="E44" s="220">
        <v>98982938</v>
      </c>
      <c r="F44" s="220">
        <f t="shared" si="5"/>
        <v>10800218246</v>
      </c>
      <c r="G44" s="221">
        <v>2535298.58</v>
      </c>
      <c r="H44" s="348">
        <v>27</v>
      </c>
      <c r="I44" s="348">
        <v>0</v>
      </c>
      <c r="J44" s="210">
        <f t="shared" si="6"/>
        <v>27</v>
      </c>
      <c r="K44" s="185">
        <v>0</v>
      </c>
      <c r="L44" s="197">
        <v>0</v>
      </c>
      <c r="M44" s="185">
        <v>0</v>
      </c>
      <c r="N44" s="210">
        <v>0</v>
      </c>
      <c r="O44" s="316">
        <v>6.8250000000000002</v>
      </c>
      <c r="P44" s="211">
        <f t="shared" si="2"/>
        <v>0.23474512479773088</v>
      </c>
      <c r="Q44" s="317">
        <f t="shared" si="3"/>
        <v>34.059745124797736</v>
      </c>
      <c r="R44" s="196"/>
      <c r="S44" s="196"/>
      <c r="T44" s="196"/>
      <c r="U44" s="196"/>
      <c r="V44" s="196"/>
      <c r="W44" s="196">
        <f t="shared" si="4"/>
        <v>34.059745124797736</v>
      </c>
      <c r="X44" s="185">
        <v>59.541999999999994</v>
      </c>
      <c r="Y44" s="220">
        <v>662597804.73000002</v>
      </c>
      <c r="Z44" s="220">
        <v>351458425.42320001</v>
      </c>
      <c r="AB44" s="161">
        <f>+D44-'[2]Data FY23-24 Final'!D44</f>
        <v>439703289</v>
      </c>
      <c r="AC44" s="161">
        <f>+E44-'[2]Data FY23-24 Final'!E44</f>
        <v>472367</v>
      </c>
      <c r="AD44" s="161">
        <f>+F44-'[2]Data FY23-24 Final'!F44</f>
        <v>439230922</v>
      </c>
      <c r="AE44" s="161">
        <f>+G44-'[2]Data FY23-24 Final'!G44</f>
        <v>0</v>
      </c>
      <c r="AF44" s="186">
        <f>+H44-'[2]Data FY23-24 Final'!H44</f>
        <v>0</v>
      </c>
      <c r="AG44" s="186">
        <f>+I44-'[2]Data FY23-24 Final'!I44</f>
        <v>0</v>
      </c>
      <c r="AH44" s="186">
        <f>+J44-'[2]Data FY23-24 Final'!J44</f>
        <v>0</v>
      </c>
      <c r="AI44" s="186">
        <f>+K44-'[2]Data FY23-24 Final'!K44</f>
        <v>0</v>
      </c>
      <c r="AJ44" s="186">
        <f>+L44-'[2]Data FY23-24 Final'!L44</f>
        <v>0</v>
      </c>
      <c r="AK44" s="186">
        <f>+M44-'[2]Data FY23-24 Final'!M44</f>
        <v>0</v>
      </c>
      <c r="AL44" s="186">
        <f>+N44-'[2]Data FY23-24 Final'!N44</f>
        <v>0</v>
      </c>
      <c r="AM44" s="186">
        <f>+O44-'[2]Data FY23-24 Final'!O44</f>
        <v>-6.6599999999999993</v>
      </c>
      <c r="AN44" s="186">
        <f>+P44-'[2]Data FY23-24 Final'!P44</f>
        <v>-1.0254875202269115E-2</v>
      </c>
      <c r="AO44" s="186">
        <f>+Q44-'[2]Data FY23-24 Final'!Q44</f>
        <v>-6.6702548752022608</v>
      </c>
      <c r="AP44" s="186">
        <f>+R44-'[2]Data FY23-24 Final'!R44</f>
        <v>-5.2039999999999997</v>
      </c>
      <c r="AQ44" s="186">
        <f>+S44-'[2]Data FY23-24 Final'!S44</f>
        <v>0</v>
      </c>
      <c r="AR44" s="186">
        <f>+T44-'[2]Data FY23-24 Final'!T44</f>
        <v>0</v>
      </c>
      <c r="AS44" s="186">
        <f>+U44-'[2]Data FY23-24 Final'!U44</f>
        <v>0</v>
      </c>
      <c r="AT44" s="186">
        <f>+V44-'[2]Data FY23-24 Final'!V44</f>
        <v>0</v>
      </c>
      <c r="AU44" s="186">
        <f>+W44-'[2]Data FY23-24 Final'!W44</f>
        <v>-11.874254875202261</v>
      </c>
      <c r="AV44" s="186">
        <f>+X44-'[2]Data FY23-24 Final'!X44</f>
        <v>0</v>
      </c>
      <c r="AW44" s="161">
        <f>+Y44-'[2]Data FY23-24 Final'!Y44</f>
        <v>30290416.567999959</v>
      </c>
      <c r="AX44" s="161">
        <f>+Z44-'[2]Data FY23-24 Final'!Z44</f>
        <v>19522604.229200065</v>
      </c>
    </row>
    <row r="45" spans="1:50" s="154" customFormat="1" x14ac:dyDescent="0.25">
      <c r="A45" s="187" t="s">
        <v>168</v>
      </c>
      <c r="B45" s="187" t="s">
        <v>169</v>
      </c>
      <c r="C45" s="194" t="s">
        <v>169</v>
      </c>
      <c r="D45" s="220">
        <v>4875054640</v>
      </c>
      <c r="E45" s="220">
        <v>185282360</v>
      </c>
      <c r="F45" s="220">
        <f t="shared" si="5"/>
        <v>4689772280</v>
      </c>
      <c r="G45" s="221">
        <v>129868.81</v>
      </c>
      <c r="H45" s="348">
        <v>12.138</v>
      </c>
      <c r="I45" s="348">
        <v>0</v>
      </c>
      <c r="J45" s="210">
        <f t="shared" si="6"/>
        <v>12.138</v>
      </c>
      <c r="K45" s="185">
        <v>0</v>
      </c>
      <c r="L45" s="197">
        <v>0</v>
      </c>
      <c r="M45" s="185">
        <v>0.45100000000000001</v>
      </c>
      <c r="N45" s="210">
        <v>0</v>
      </c>
      <c r="O45" s="316">
        <v>1.268</v>
      </c>
      <c r="P45" s="211">
        <f t="shared" si="2"/>
        <v>2.7691922389033355E-2</v>
      </c>
      <c r="Q45" s="317">
        <f t="shared" si="3"/>
        <v>13.884691922389035</v>
      </c>
      <c r="R45" s="196"/>
      <c r="S45" s="196"/>
      <c r="T45" s="196"/>
      <c r="U45" s="196"/>
      <c r="V45" s="196"/>
      <c r="W45" s="196">
        <f t="shared" si="4"/>
        <v>13.884691922389035</v>
      </c>
      <c r="X45" s="185">
        <v>15.615</v>
      </c>
      <c r="Y45" s="220">
        <v>75670276.670000002</v>
      </c>
      <c r="Z45" s="220">
        <v>16305760.159860004</v>
      </c>
      <c r="AB45" s="161">
        <f>+D45-'[2]Data FY23-24 Final'!D45</f>
        <v>112346200</v>
      </c>
      <c r="AC45" s="161">
        <f>+E45-'[2]Data FY23-24 Final'!E45</f>
        <v>2654130</v>
      </c>
      <c r="AD45" s="161">
        <f>+F45-'[2]Data FY23-24 Final'!F45</f>
        <v>109692070</v>
      </c>
      <c r="AE45" s="161">
        <f>+G45-'[2]Data FY23-24 Final'!G45</f>
        <v>0</v>
      </c>
      <c r="AF45" s="186">
        <f>+H45-'[2]Data FY23-24 Final'!H45</f>
        <v>0</v>
      </c>
      <c r="AG45" s="186">
        <f>+I45-'[2]Data FY23-24 Final'!I45</f>
        <v>0</v>
      </c>
      <c r="AH45" s="186">
        <f>+J45-'[2]Data FY23-24 Final'!J45</f>
        <v>0</v>
      </c>
      <c r="AI45" s="186">
        <f>+K45-'[2]Data FY23-24 Final'!K45</f>
        <v>0</v>
      </c>
      <c r="AJ45" s="186">
        <f>+L45-'[2]Data FY23-24 Final'!L45</f>
        <v>0</v>
      </c>
      <c r="AK45" s="186">
        <f>+M45-'[2]Data FY23-24 Final'!M45</f>
        <v>-1.100000000000001E-2</v>
      </c>
      <c r="AL45" s="186">
        <f>+N45-'[2]Data FY23-24 Final'!N45</f>
        <v>0</v>
      </c>
      <c r="AM45" s="186">
        <f>+O45-'[2]Data FY23-24 Final'!O45</f>
        <v>-2.2439999999999998</v>
      </c>
      <c r="AN45" s="186">
        <f>+P45-'[2]Data FY23-24 Final'!P45</f>
        <v>-3.0807761096664568E-4</v>
      </c>
      <c r="AO45" s="186">
        <f>+Q45-'[2]Data FY23-24 Final'!Q45</f>
        <v>-2.255308077610966</v>
      </c>
      <c r="AP45" s="186">
        <f>+R45-'[2]Data FY23-24 Final'!R45</f>
        <v>-5.9589999999999996</v>
      </c>
      <c r="AQ45" s="186">
        <f>+S45-'[2]Data FY23-24 Final'!S45</f>
        <v>-0.218</v>
      </c>
      <c r="AR45" s="186">
        <f>+T45-'[2]Data FY23-24 Final'!T45</f>
        <v>0</v>
      </c>
      <c r="AS45" s="186">
        <f>+U45-'[2]Data FY23-24 Final'!U45</f>
        <v>0</v>
      </c>
      <c r="AT45" s="186">
        <f>+V45-'[2]Data FY23-24 Final'!V45</f>
        <v>0</v>
      </c>
      <c r="AU45" s="186">
        <f>+W45-'[2]Data FY23-24 Final'!W45</f>
        <v>-8.4323080776109656</v>
      </c>
      <c r="AV45" s="186">
        <f>+X45-'[2]Data FY23-24 Final'!X45</f>
        <v>0</v>
      </c>
      <c r="AW45" s="161">
        <f>+Y45-'[2]Data FY23-24 Final'!Y45</f>
        <v>4420933.3220000118</v>
      </c>
      <c r="AX45" s="161">
        <f>+Z45-'[2]Data FY23-24 Final'!Z45</f>
        <v>3018421.2508400045</v>
      </c>
    </row>
    <row r="46" spans="1:50" s="154" customFormat="1" x14ac:dyDescent="0.25">
      <c r="A46" s="187" t="s">
        <v>170</v>
      </c>
      <c r="B46" s="187" t="s">
        <v>171</v>
      </c>
      <c r="C46" s="194" t="s">
        <v>172</v>
      </c>
      <c r="D46" s="220">
        <v>388460173</v>
      </c>
      <c r="E46" s="220">
        <v>0</v>
      </c>
      <c r="F46" s="220">
        <f t="shared" si="5"/>
        <v>388460173</v>
      </c>
      <c r="G46" s="221">
        <v>8815.24</v>
      </c>
      <c r="H46" s="348">
        <v>27</v>
      </c>
      <c r="I46" s="348">
        <v>0</v>
      </c>
      <c r="J46" s="210">
        <f t="shared" si="6"/>
        <v>27</v>
      </c>
      <c r="K46" s="185">
        <v>0</v>
      </c>
      <c r="L46" s="197">
        <v>0</v>
      </c>
      <c r="M46" s="185">
        <v>0</v>
      </c>
      <c r="N46" s="210">
        <v>0</v>
      </c>
      <c r="O46" s="316">
        <v>0</v>
      </c>
      <c r="P46" s="211">
        <f t="shared" si="2"/>
        <v>2.2692776795936811E-2</v>
      </c>
      <c r="Q46" s="317">
        <f t="shared" si="3"/>
        <v>27.022692776795935</v>
      </c>
      <c r="R46" s="196"/>
      <c r="S46" s="196"/>
      <c r="T46" s="196"/>
      <c r="U46" s="196"/>
      <c r="V46" s="196"/>
      <c r="W46" s="196">
        <f t="shared" si="4"/>
        <v>27.022692776795935</v>
      </c>
      <c r="X46" s="185">
        <v>61.298000000000002</v>
      </c>
      <c r="Y46" s="220">
        <v>25063553.359999999</v>
      </c>
      <c r="Z46" s="220">
        <v>13323553.9045</v>
      </c>
      <c r="AB46" s="161">
        <f>+D46-'[2]Data FY23-24 Final'!D46</f>
        <v>21130112</v>
      </c>
      <c r="AC46" s="161">
        <f>+E46-'[2]Data FY23-24 Final'!E46</f>
        <v>0</v>
      </c>
      <c r="AD46" s="161">
        <f>+F46-'[2]Data FY23-24 Final'!F46</f>
        <v>21130112</v>
      </c>
      <c r="AE46" s="161">
        <f>+G46-'[2]Data FY23-24 Final'!G46</f>
        <v>0</v>
      </c>
      <c r="AF46" s="186">
        <f>+H46-'[2]Data FY23-24 Final'!H46</f>
        <v>0</v>
      </c>
      <c r="AG46" s="186">
        <f>+I46-'[2]Data FY23-24 Final'!I46</f>
        <v>0</v>
      </c>
      <c r="AH46" s="186">
        <f>+J46-'[2]Data FY23-24 Final'!J46</f>
        <v>0</v>
      </c>
      <c r="AI46" s="186">
        <f>+K46-'[2]Data FY23-24 Final'!K46</f>
        <v>0</v>
      </c>
      <c r="AJ46" s="186">
        <f>+L46-'[2]Data FY23-24 Final'!L46</f>
        <v>0</v>
      </c>
      <c r="AK46" s="186">
        <f>+M46-'[2]Data FY23-24 Final'!M46</f>
        <v>0</v>
      </c>
      <c r="AL46" s="186">
        <f>+N46-'[2]Data FY23-24 Final'!N46</f>
        <v>0</v>
      </c>
      <c r="AM46" s="186">
        <f>+O46-'[2]Data FY23-24 Final'!O46</f>
        <v>-4.3289999999999997</v>
      </c>
      <c r="AN46" s="186">
        <f>+P46-'[2]Data FY23-24 Final'!P46</f>
        <v>-1.3072232040631897E-3</v>
      </c>
      <c r="AO46" s="186">
        <f>+Q46-'[2]Data FY23-24 Final'!Q46</f>
        <v>-4.3303072232040662</v>
      </c>
      <c r="AP46" s="186">
        <f>+R46-'[2]Data FY23-24 Final'!R46</f>
        <v>0</v>
      </c>
      <c r="AQ46" s="186">
        <f>+S46-'[2]Data FY23-24 Final'!S46</f>
        <v>0</v>
      </c>
      <c r="AR46" s="186">
        <f>+T46-'[2]Data FY23-24 Final'!T46</f>
        <v>0</v>
      </c>
      <c r="AS46" s="186">
        <f>+U46-'[2]Data FY23-24 Final'!U46</f>
        <v>0</v>
      </c>
      <c r="AT46" s="186">
        <f>+V46-'[2]Data FY23-24 Final'!V46</f>
        <v>0</v>
      </c>
      <c r="AU46" s="186">
        <f>+W46-'[2]Data FY23-24 Final'!W46</f>
        <v>-4.3303072232040662</v>
      </c>
      <c r="AV46" s="186">
        <f>+X46-'[2]Data FY23-24 Final'!X46</f>
        <v>0</v>
      </c>
      <c r="AW46" s="161">
        <f>+Y46-'[2]Data FY23-24 Final'!Y46</f>
        <v>568981.57999999821</v>
      </c>
      <c r="AX46" s="161">
        <f>+Z46-'[2]Data FY23-24 Final'!Z46</f>
        <v>-152995.60850000009</v>
      </c>
    </row>
    <row r="47" spans="1:50" s="154" customFormat="1" x14ac:dyDescent="0.25">
      <c r="A47" s="187" t="s">
        <v>173</v>
      </c>
      <c r="B47" s="187" t="s">
        <v>171</v>
      </c>
      <c r="C47" s="194" t="s">
        <v>174</v>
      </c>
      <c r="D47" s="220">
        <v>70791473</v>
      </c>
      <c r="E47" s="220">
        <v>0</v>
      </c>
      <c r="F47" s="220">
        <f t="shared" si="5"/>
        <v>70791473</v>
      </c>
      <c r="G47" s="221">
        <v>4541.4799999999996</v>
      </c>
      <c r="H47" s="348">
        <v>27</v>
      </c>
      <c r="I47" s="348">
        <v>3.8120000000000012</v>
      </c>
      <c r="J47" s="210">
        <f t="shared" si="6"/>
        <v>23.187999999999999</v>
      </c>
      <c r="K47" s="185">
        <v>0</v>
      </c>
      <c r="L47" s="197">
        <v>0</v>
      </c>
      <c r="M47" s="185">
        <v>0</v>
      </c>
      <c r="N47" s="210">
        <v>0</v>
      </c>
      <c r="O47" s="316">
        <v>0</v>
      </c>
      <c r="P47" s="211">
        <f t="shared" si="2"/>
        <v>6.4152924180571849E-2</v>
      </c>
      <c r="Q47" s="317">
        <f t="shared" si="3"/>
        <v>23.252152924180571</v>
      </c>
      <c r="R47" s="196"/>
      <c r="S47" s="196"/>
      <c r="T47" s="196"/>
      <c r="U47" s="196"/>
      <c r="V47" s="196"/>
      <c r="W47" s="196">
        <f t="shared" si="4"/>
        <v>23.252152924180571</v>
      </c>
      <c r="X47" s="185">
        <v>58.634999999999998</v>
      </c>
      <c r="Y47" s="220">
        <v>4324477.92</v>
      </c>
      <c r="Z47" s="220">
        <v>2580161.989976</v>
      </c>
      <c r="AB47" s="161">
        <f>+D47-'[2]Data FY23-24 Final'!D47</f>
        <v>3557365</v>
      </c>
      <c r="AC47" s="161">
        <f>+E47-'[2]Data FY23-24 Final'!E47</f>
        <v>0</v>
      </c>
      <c r="AD47" s="161">
        <f>+F47-'[2]Data FY23-24 Final'!F47</f>
        <v>3557365</v>
      </c>
      <c r="AE47" s="161">
        <f>+G47-'[2]Data FY23-24 Final'!G47</f>
        <v>90</v>
      </c>
      <c r="AF47" s="186">
        <f>+H47-'[2]Data FY23-24 Final'!H47</f>
        <v>0</v>
      </c>
      <c r="AG47" s="186">
        <f>+I47-'[2]Data FY23-24 Final'!I47</f>
        <v>-0.99999999999999911</v>
      </c>
      <c r="AH47" s="186">
        <f>+J47-'[2]Data FY23-24 Final'!J47</f>
        <v>1</v>
      </c>
      <c r="AI47" s="186">
        <f>+K47-'[2]Data FY23-24 Final'!K47</f>
        <v>0</v>
      </c>
      <c r="AJ47" s="186">
        <f>+L47-'[2]Data FY23-24 Final'!L47</f>
        <v>0</v>
      </c>
      <c r="AK47" s="186">
        <f>+M47-'[2]Data FY23-24 Final'!M47</f>
        <v>0</v>
      </c>
      <c r="AL47" s="186">
        <f>+N47-'[2]Data FY23-24 Final'!N47</f>
        <v>0</v>
      </c>
      <c r="AM47" s="186">
        <f>+O47-'[2]Data FY23-24 Final'!O47</f>
        <v>0</v>
      </c>
      <c r="AN47" s="186">
        <f>+P47-'[2]Data FY23-24 Final'!P47</f>
        <v>-1.8470758194281539E-3</v>
      </c>
      <c r="AO47" s="186">
        <f>+Q47-'[2]Data FY23-24 Final'!Q47</f>
        <v>0.99815292418056956</v>
      </c>
      <c r="AP47" s="186">
        <f>+R47-'[2]Data FY23-24 Final'!R47</f>
        <v>0</v>
      </c>
      <c r="AQ47" s="186">
        <f>+S47-'[2]Data FY23-24 Final'!S47</f>
        <v>0</v>
      </c>
      <c r="AR47" s="186">
        <f>+T47-'[2]Data FY23-24 Final'!T47</f>
        <v>0</v>
      </c>
      <c r="AS47" s="186">
        <f>+U47-'[2]Data FY23-24 Final'!U47</f>
        <v>0</v>
      </c>
      <c r="AT47" s="186">
        <f>+V47-'[2]Data FY23-24 Final'!V47</f>
        <v>0</v>
      </c>
      <c r="AU47" s="186">
        <f>+W47-'[2]Data FY23-24 Final'!W47</f>
        <v>0.99815292418056956</v>
      </c>
      <c r="AV47" s="186">
        <f>+X47-'[2]Data FY23-24 Final'!X47</f>
        <v>0</v>
      </c>
      <c r="AW47" s="161">
        <f>+Y47-'[2]Data FY23-24 Final'!Y47</f>
        <v>-20709.480000000447</v>
      </c>
      <c r="AX47" s="161">
        <f>+Z47-'[2]Data FY23-24 Final'!Z47</f>
        <v>-104696.45172000071</v>
      </c>
    </row>
    <row r="48" spans="1:50" s="154" customFormat="1" x14ac:dyDescent="0.25">
      <c r="A48" s="187" t="s">
        <v>175</v>
      </c>
      <c r="B48" s="187" t="s">
        <v>171</v>
      </c>
      <c r="C48" s="194" t="s">
        <v>176</v>
      </c>
      <c r="D48" s="220">
        <v>45227075</v>
      </c>
      <c r="E48" s="220">
        <v>0</v>
      </c>
      <c r="F48" s="220">
        <f t="shared" si="5"/>
        <v>45227075</v>
      </c>
      <c r="G48" s="221">
        <v>1714.01</v>
      </c>
      <c r="H48" s="348">
        <v>27</v>
      </c>
      <c r="I48" s="348">
        <v>0</v>
      </c>
      <c r="J48" s="210">
        <f t="shared" si="6"/>
        <v>27</v>
      </c>
      <c r="K48" s="185">
        <v>0</v>
      </c>
      <c r="L48" s="197">
        <v>0</v>
      </c>
      <c r="M48" s="185">
        <v>0</v>
      </c>
      <c r="N48" s="210">
        <v>0</v>
      </c>
      <c r="O48" s="316">
        <v>0</v>
      </c>
      <c r="P48" s="211">
        <f t="shared" si="2"/>
        <v>3.7897874226887326E-2</v>
      </c>
      <c r="Q48" s="317">
        <f t="shared" si="3"/>
        <v>27.037897874226886</v>
      </c>
      <c r="R48" s="196"/>
      <c r="S48" s="196"/>
      <c r="T48" s="196"/>
      <c r="U48" s="196"/>
      <c r="V48" s="196"/>
      <c r="W48" s="196">
        <f t="shared" si="4"/>
        <v>27.037897874226886</v>
      </c>
      <c r="X48" s="185">
        <v>104.253</v>
      </c>
      <c r="Y48" s="220">
        <v>4880124.99</v>
      </c>
      <c r="Z48" s="220">
        <v>3493922.0965000005</v>
      </c>
      <c r="AB48" s="161">
        <f>+D48-'[2]Data FY23-24 Final'!D48</f>
        <v>1739025</v>
      </c>
      <c r="AC48" s="161">
        <f>+E48-'[2]Data FY23-24 Final'!E48</f>
        <v>0</v>
      </c>
      <c r="AD48" s="161">
        <f>+F48-'[2]Data FY23-24 Final'!F48</f>
        <v>1739025</v>
      </c>
      <c r="AE48" s="161">
        <f>+G48-'[2]Data FY23-24 Final'!G48</f>
        <v>0</v>
      </c>
      <c r="AF48" s="186">
        <f>+H48-'[2]Data FY23-24 Final'!H48</f>
        <v>0</v>
      </c>
      <c r="AG48" s="186">
        <f>+I48-'[2]Data FY23-24 Final'!I48</f>
        <v>0</v>
      </c>
      <c r="AH48" s="186">
        <f>+J48-'[2]Data FY23-24 Final'!J48</f>
        <v>0</v>
      </c>
      <c r="AI48" s="186">
        <f>+K48-'[2]Data FY23-24 Final'!K48</f>
        <v>0</v>
      </c>
      <c r="AJ48" s="186">
        <f>+L48-'[2]Data FY23-24 Final'!L48</f>
        <v>0</v>
      </c>
      <c r="AK48" s="186">
        <f>+M48-'[2]Data FY23-24 Final'!M48</f>
        <v>0</v>
      </c>
      <c r="AL48" s="186">
        <f>+N48-'[2]Data FY23-24 Final'!N48</f>
        <v>0</v>
      </c>
      <c r="AM48" s="186">
        <f>+O48-'[2]Data FY23-24 Final'!O48</f>
        <v>0</v>
      </c>
      <c r="AN48" s="186">
        <f>+P48-'[2]Data FY23-24 Final'!P48</f>
        <v>-1.1021257731126735E-3</v>
      </c>
      <c r="AO48" s="186">
        <f>+Q48-'[2]Data FY23-24 Final'!Q48</f>
        <v>-1.1021257731158585E-3</v>
      </c>
      <c r="AP48" s="186">
        <f>+R48-'[2]Data FY23-24 Final'!R48</f>
        <v>-4.577</v>
      </c>
      <c r="AQ48" s="186">
        <f>+S48-'[2]Data FY23-24 Final'!S48</f>
        <v>0</v>
      </c>
      <c r="AR48" s="186">
        <f>+T48-'[2]Data FY23-24 Final'!T48</f>
        <v>0</v>
      </c>
      <c r="AS48" s="186">
        <f>+U48-'[2]Data FY23-24 Final'!U48</f>
        <v>0</v>
      </c>
      <c r="AT48" s="186">
        <f>+V48-'[2]Data FY23-24 Final'!V48</f>
        <v>0</v>
      </c>
      <c r="AU48" s="186">
        <f>+W48-'[2]Data FY23-24 Final'!W48</f>
        <v>-4.578102125773114</v>
      </c>
      <c r="AV48" s="186">
        <f>+X48-'[2]Data FY23-24 Final'!X48</f>
        <v>0</v>
      </c>
      <c r="AW48" s="161">
        <f>+Y48-'[2]Data FY23-24 Final'!Y48</f>
        <v>278892.73000000045</v>
      </c>
      <c r="AX48" s="161">
        <f>+Z48-'[2]Data FY23-24 Final'!Z48</f>
        <v>235625.55650000088</v>
      </c>
    </row>
    <row r="49" spans="1:50" s="154" customFormat="1" x14ac:dyDescent="0.25">
      <c r="A49" s="187" t="s">
        <v>177</v>
      </c>
      <c r="B49" s="187" t="s">
        <v>171</v>
      </c>
      <c r="C49" s="194" t="s">
        <v>171</v>
      </c>
      <c r="D49" s="220">
        <v>38944900</v>
      </c>
      <c r="E49" s="220">
        <v>0</v>
      </c>
      <c r="F49" s="220">
        <f t="shared" si="5"/>
        <v>38944900</v>
      </c>
      <c r="G49" s="221">
        <v>3035.34</v>
      </c>
      <c r="H49" s="348">
        <v>24.431000000000001</v>
      </c>
      <c r="I49" s="348">
        <v>0</v>
      </c>
      <c r="J49" s="210">
        <f t="shared" si="6"/>
        <v>24.431000000000001</v>
      </c>
      <c r="K49" s="185">
        <v>0</v>
      </c>
      <c r="L49" s="197">
        <v>0</v>
      </c>
      <c r="M49" s="185">
        <v>0</v>
      </c>
      <c r="N49" s="210">
        <v>0</v>
      </c>
      <c r="O49" s="316">
        <v>0</v>
      </c>
      <c r="P49" s="211">
        <f t="shared" si="2"/>
        <v>7.7939345074708122E-2</v>
      </c>
      <c r="Q49" s="317">
        <f t="shared" si="3"/>
        <v>24.508939345074708</v>
      </c>
      <c r="R49" s="196"/>
      <c r="S49" s="196"/>
      <c r="T49" s="196"/>
      <c r="U49" s="196"/>
      <c r="V49" s="196"/>
      <c r="W49" s="196">
        <f t="shared" si="4"/>
        <v>24.508939345074708</v>
      </c>
      <c r="X49" s="185">
        <v>99.86</v>
      </c>
      <c r="Y49" s="220">
        <v>3990253.59</v>
      </c>
      <c r="Z49" s="220">
        <v>2970077.1477999999</v>
      </c>
      <c r="AB49" s="161">
        <f>+D49-'[2]Data FY23-24 Final'!D49</f>
        <v>2164929</v>
      </c>
      <c r="AC49" s="161">
        <f>+E49-'[2]Data FY23-24 Final'!E49</f>
        <v>0</v>
      </c>
      <c r="AD49" s="161">
        <f>+F49-'[2]Data FY23-24 Final'!F49</f>
        <v>2164929</v>
      </c>
      <c r="AE49" s="161">
        <f>+G49-'[2]Data FY23-24 Final'!G49</f>
        <v>0.34000000000014552</v>
      </c>
      <c r="AF49" s="186">
        <f>+H49-'[2]Data FY23-24 Final'!H49</f>
        <v>0</v>
      </c>
      <c r="AG49" s="186">
        <f>+I49-'[2]Data FY23-24 Final'!I49</f>
        <v>-0.83499999999999996</v>
      </c>
      <c r="AH49" s="186">
        <f>+J49-'[2]Data FY23-24 Final'!J49</f>
        <v>0.83500000000000085</v>
      </c>
      <c r="AI49" s="186">
        <f>+K49-'[2]Data FY23-24 Final'!K49</f>
        <v>0</v>
      </c>
      <c r="AJ49" s="186">
        <f>+L49-'[2]Data FY23-24 Final'!L49</f>
        <v>0</v>
      </c>
      <c r="AK49" s="186">
        <f>+M49-'[2]Data FY23-24 Final'!M49</f>
        <v>0</v>
      </c>
      <c r="AL49" s="186">
        <f>+N49-'[2]Data FY23-24 Final'!N49</f>
        <v>0</v>
      </c>
      <c r="AM49" s="186">
        <f>+O49-'[2]Data FY23-24 Final'!O49</f>
        <v>0</v>
      </c>
      <c r="AN49" s="186">
        <f>+P49-'[2]Data FY23-24 Final'!P49</f>
        <v>-5.0606549252918825E-3</v>
      </c>
      <c r="AO49" s="186">
        <f>+Q49-'[2]Data FY23-24 Final'!Q49</f>
        <v>0.82993934507470968</v>
      </c>
      <c r="AP49" s="186">
        <f>+R49-'[2]Data FY23-24 Final'!R49</f>
        <v>-5.4119999999999999</v>
      </c>
      <c r="AQ49" s="186">
        <f>+S49-'[2]Data FY23-24 Final'!S49</f>
        <v>0</v>
      </c>
      <c r="AR49" s="186">
        <f>+T49-'[2]Data FY23-24 Final'!T49</f>
        <v>0</v>
      </c>
      <c r="AS49" s="186">
        <f>+U49-'[2]Data FY23-24 Final'!U49</f>
        <v>0</v>
      </c>
      <c r="AT49" s="186">
        <f>+V49-'[2]Data FY23-24 Final'!V49</f>
        <v>0</v>
      </c>
      <c r="AU49" s="186">
        <f>+W49-'[2]Data FY23-24 Final'!W49</f>
        <v>-4.5820606549252929</v>
      </c>
      <c r="AV49" s="186">
        <f>+X49-'[2]Data FY23-24 Final'!X49</f>
        <v>0</v>
      </c>
      <c r="AW49" s="161">
        <f>+Y49-'[2]Data FY23-24 Final'!Y49</f>
        <v>-38277.979999999981</v>
      </c>
      <c r="AX49" s="161">
        <f>+Z49-'[2]Data FY23-24 Final'!Z49</f>
        <v>-93893.376484000124</v>
      </c>
    </row>
    <row r="50" spans="1:50" s="154" customFormat="1" x14ac:dyDescent="0.25">
      <c r="A50" s="187" t="s">
        <v>178</v>
      </c>
      <c r="B50" s="187" t="s">
        <v>171</v>
      </c>
      <c r="C50" s="194" t="s">
        <v>179</v>
      </c>
      <c r="D50" s="220">
        <v>30165195</v>
      </c>
      <c r="E50" s="220">
        <v>0</v>
      </c>
      <c r="F50" s="220">
        <f t="shared" si="5"/>
        <v>30165195</v>
      </c>
      <c r="G50" s="221">
        <v>481.71</v>
      </c>
      <c r="H50" s="348">
        <v>27</v>
      </c>
      <c r="I50" s="348">
        <v>6.2019999999999982</v>
      </c>
      <c r="J50" s="210">
        <f t="shared" si="6"/>
        <v>20.798000000000002</v>
      </c>
      <c r="K50" s="185">
        <v>0</v>
      </c>
      <c r="L50" s="197">
        <v>0</v>
      </c>
      <c r="M50" s="185">
        <v>0</v>
      </c>
      <c r="N50" s="210">
        <v>0</v>
      </c>
      <c r="O50" s="316">
        <v>0</v>
      </c>
      <c r="P50" s="211">
        <f t="shared" si="2"/>
        <v>1.5969066336219608E-2</v>
      </c>
      <c r="Q50" s="317">
        <f t="shared" si="3"/>
        <v>20.81396906633622</v>
      </c>
      <c r="R50" s="196"/>
      <c r="S50" s="196"/>
      <c r="T50" s="196"/>
      <c r="U50" s="196"/>
      <c r="V50" s="196"/>
      <c r="W50" s="196">
        <f t="shared" si="4"/>
        <v>20.81396906633622</v>
      </c>
      <c r="X50" s="185">
        <v>47.862000000000002</v>
      </c>
      <c r="Y50" s="220">
        <v>1510392.66</v>
      </c>
      <c r="Z50" s="220">
        <v>846563.16108999983</v>
      </c>
      <c r="AB50" s="161">
        <f>+D50-'[2]Data FY23-24 Final'!D50</f>
        <v>433280</v>
      </c>
      <c r="AC50" s="161">
        <f>+E50-'[2]Data FY23-24 Final'!E50</f>
        <v>0</v>
      </c>
      <c r="AD50" s="161">
        <f>+F50-'[2]Data FY23-24 Final'!F50</f>
        <v>433280</v>
      </c>
      <c r="AE50" s="161">
        <f>+G50-'[2]Data FY23-24 Final'!G50</f>
        <v>0</v>
      </c>
      <c r="AF50" s="186">
        <f>+H50-'[2]Data FY23-24 Final'!H50</f>
        <v>0</v>
      </c>
      <c r="AG50" s="186">
        <f>+I50-'[2]Data FY23-24 Final'!I50</f>
        <v>-1.0000000000000018</v>
      </c>
      <c r="AH50" s="186">
        <f>+J50-'[2]Data FY23-24 Final'!J50</f>
        <v>1.0000000000000036</v>
      </c>
      <c r="AI50" s="186">
        <f>+K50-'[2]Data FY23-24 Final'!K50</f>
        <v>0</v>
      </c>
      <c r="AJ50" s="186">
        <f>+L50-'[2]Data FY23-24 Final'!L50</f>
        <v>0</v>
      </c>
      <c r="AK50" s="186">
        <f>+M50-'[2]Data FY23-24 Final'!M50</f>
        <v>0</v>
      </c>
      <c r="AL50" s="186">
        <f>+N50-'[2]Data FY23-24 Final'!N50</f>
        <v>0</v>
      </c>
      <c r="AM50" s="186">
        <f>+O50-'[2]Data FY23-24 Final'!O50</f>
        <v>0</v>
      </c>
      <c r="AN50" s="186">
        <f>+P50-'[2]Data FY23-24 Final'!P50</f>
        <v>-3.0933663780392112E-5</v>
      </c>
      <c r="AO50" s="186">
        <f>+Q50-'[2]Data FY23-24 Final'!Q50</f>
        <v>0.99996906633622018</v>
      </c>
      <c r="AP50" s="186">
        <f>+R50-'[2]Data FY23-24 Final'!R50</f>
        <v>0</v>
      </c>
      <c r="AQ50" s="186">
        <f>+S50-'[2]Data FY23-24 Final'!S50</f>
        <v>0</v>
      </c>
      <c r="AR50" s="186">
        <f>+T50-'[2]Data FY23-24 Final'!T50</f>
        <v>0</v>
      </c>
      <c r="AS50" s="186">
        <f>+U50-'[2]Data FY23-24 Final'!U50</f>
        <v>0</v>
      </c>
      <c r="AT50" s="186">
        <f>+V50-'[2]Data FY23-24 Final'!V50</f>
        <v>0</v>
      </c>
      <c r="AU50" s="186">
        <f>+W50-'[2]Data FY23-24 Final'!W50</f>
        <v>0.99996906633622018</v>
      </c>
      <c r="AV50" s="186">
        <f>+X50-'[2]Data FY23-24 Final'!X50</f>
        <v>0</v>
      </c>
      <c r="AW50" s="161">
        <f>+Y50-'[2]Data FY23-24 Final'!Y50</f>
        <v>-19160.190000000177</v>
      </c>
      <c r="AX50" s="161">
        <f>+Z50-'[2]Data FY23-24 Final'!Z50</f>
        <v>-20461.295740000205</v>
      </c>
    </row>
    <row r="51" spans="1:50" s="154" customFormat="1" x14ac:dyDescent="0.25">
      <c r="A51" s="187" t="s">
        <v>180</v>
      </c>
      <c r="B51" s="187" t="s">
        <v>181</v>
      </c>
      <c r="C51" s="194" t="s">
        <v>182</v>
      </c>
      <c r="D51" s="220">
        <v>59807577</v>
      </c>
      <c r="E51" s="220">
        <v>0</v>
      </c>
      <c r="F51" s="220">
        <f t="shared" si="5"/>
        <v>59807577</v>
      </c>
      <c r="G51" s="221">
        <v>7305.69</v>
      </c>
      <c r="H51" s="348">
        <v>27</v>
      </c>
      <c r="I51" s="348">
        <v>0</v>
      </c>
      <c r="J51" s="210">
        <f t="shared" si="6"/>
        <v>27</v>
      </c>
      <c r="K51" s="185">
        <v>0</v>
      </c>
      <c r="L51" s="197">
        <v>0</v>
      </c>
      <c r="M51" s="185">
        <v>0</v>
      </c>
      <c r="N51" s="210">
        <v>0</v>
      </c>
      <c r="O51" s="316">
        <v>0</v>
      </c>
      <c r="P51" s="211">
        <f t="shared" si="2"/>
        <v>0.12215325158549727</v>
      </c>
      <c r="Q51" s="317">
        <f t="shared" si="3"/>
        <v>27.122153251585498</v>
      </c>
      <c r="R51" s="196"/>
      <c r="S51" s="196"/>
      <c r="T51" s="196"/>
      <c r="U51" s="196"/>
      <c r="V51" s="196"/>
      <c r="W51" s="196">
        <f t="shared" si="4"/>
        <v>27.122153251585498</v>
      </c>
      <c r="X51" s="185">
        <v>90.491</v>
      </c>
      <c r="Y51" s="220">
        <v>5567430.5099999998</v>
      </c>
      <c r="Z51" s="220">
        <v>3797248.2267999998</v>
      </c>
      <c r="AB51" s="161">
        <f>+D51-'[2]Data FY23-24 Final'!D51</f>
        <v>2321287</v>
      </c>
      <c r="AC51" s="161">
        <f>+E51-'[2]Data FY23-24 Final'!E51</f>
        <v>0</v>
      </c>
      <c r="AD51" s="161">
        <f>+F51-'[2]Data FY23-24 Final'!F51</f>
        <v>2321287</v>
      </c>
      <c r="AE51" s="161">
        <f>+G51-'[2]Data FY23-24 Final'!G51</f>
        <v>0</v>
      </c>
      <c r="AF51" s="186">
        <f>+H51-'[2]Data FY23-24 Final'!H51</f>
        <v>0</v>
      </c>
      <c r="AG51" s="186">
        <f>+I51-'[2]Data FY23-24 Final'!I51</f>
        <v>0</v>
      </c>
      <c r="AH51" s="186">
        <f>+J51-'[2]Data FY23-24 Final'!J51</f>
        <v>0</v>
      </c>
      <c r="AI51" s="186">
        <f>+K51-'[2]Data FY23-24 Final'!K51</f>
        <v>0</v>
      </c>
      <c r="AJ51" s="186">
        <f>+L51-'[2]Data FY23-24 Final'!L51</f>
        <v>0</v>
      </c>
      <c r="AK51" s="186">
        <f>+M51-'[2]Data FY23-24 Final'!M51</f>
        <v>0</v>
      </c>
      <c r="AL51" s="186">
        <f>+N51-'[2]Data FY23-24 Final'!N51</f>
        <v>0</v>
      </c>
      <c r="AM51" s="186">
        <f>+O51-'[2]Data FY23-24 Final'!O51</f>
        <v>0</v>
      </c>
      <c r="AN51" s="186">
        <f>+P51-'[2]Data FY23-24 Final'!P51</f>
        <v>-4.8467484145027356E-3</v>
      </c>
      <c r="AO51" s="186">
        <f>+Q51-'[2]Data FY23-24 Final'!Q51</f>
        <v>-4.8467484145007234E-3</v>
      </c>
      <c r="AP51" s="186">
        <f>+R51-'[2]Data FY23-24 Final'!R51</f>
        <v>-9.5</v>
      </c>
      <c r="AQ51" s="186">
        <f>+S51-'[2]Data FY23-24 Final'!S51</f>
        <v>0</v>
      </c>
      <c r="AR51" s="186">
        <f>+T51-'[2]Data FY23-24 Final'!T51</f>
        <v>0</v>
      </c>
      <c r="AS51" s="186">
        <f>+U51-'[2]Data FY23-24 Final'!U51</f>
        <v>0</v>
      </c>
      <c r="AT51" s="186">
        <f>+V51-'[2]Data FY23-24 Final'!V51</f>
        <v>0</v>
      </c>
      <c r="AU51" s="186">
        <f>+W51-'[2]Data FY23-24 Final'!W51</f>
        <v>-9.5048467484145043</v>
      </c>
      <c r="AV51" s="186">
        <f>+X51-'[2]Data FY23-24 Final'!X51</f>
        <v>0</v>
      </c>
      <c r="AW51" s="161">
        <f>+Y51-'[2]Data FY23-24 Final'!Y51</f>
        <v>71451.240000000224</v>
      </c>
      <c r="AX51" s="161">
        <f>+Z51-'[2]Data FY23-24 Final'!Z51</f>
        <v>-26659.69319999963</v>
      </c>
    </row>
    <row r="52" spans="1:50" s="154" customFormat="1" ht="13" x14ac:dyDescent="0.3">
      <c r="A52" s="187" t="s">
        <v>183</v>
      </c>
      <c r="B52" s="187" t="s">
        <v>181</v>
      </c>
      <c r="C52" s="194" t="s">
        <v>184</v>
      </c>
      <c r="D52" s="349">
        <v>1016653280</v>
      </c>
      <c r="E52" s="349">
        <v>11959990</v>
      </c>
      <c r="F52" s="349">
        <v>1004693290</v>
      </c>
      <c r="G52" s="350">
        <v>68752.33</v>
      </c>
      <c r="H52" s="348">
        <v>15.72</v>
      </c>
      <c r="I52" s="348">
        <v>0</v>
      </c>
      <c r="J52" s="210">
        <f t="shared" si="6"/>
        <v>15.72</v>
      </c>
      <c r="K52" s="185">
        <v>0</v>
      </c>
      <c r="L52" s="197">
        <v>0</v>
      </c>
      <c r="M52" s="185">
        <v>0</v>
      </c>
      <c r="N52" s="210">
        <v>0</v>
      </c>
      <c r="O52" s="316">
        <v>5.5129999999999999</v>
      </c>
      <c r="P52" s="211">
        <f t="shared" si="2"/>
        <v>6.843116270837242E-2</v>
      </c>
      <c r="Q52" s="317">
        <f t="shared" si="3"/>
        <v>21.301431162708372</v>
      </c>
      <c r="R52" s="196"/>
      <c r="S52" s="196"/>
      <c r="T52" s="196"/>
      <c r="U52" s="196"/>
      <c r="V52" s="196"/>
      <c r="W52" s="196">
        <f t="shared" si="4"/>
        <v>21.301431162708372</v>
      </c>
      <c r="X52" s="185">
        <v>127.13800000000001</v>
      </c>
      <c r="Y52" s="220">
        <v>134111470.34999999</v>
      </c>
      <c r="Z52" s="220">
        <v>116199657.2252</v>
      </c>
      <c r="AB52" s="161">
        <f>+D52-'[2]Data FY23-24 Final'!D52</f>
        <v>19287870</v>
      </c>
      <c r="AC52" s="161">
        <f>+E52-'[2]Data FY23-24 Final'!E52</f>
        <v>641560</v>
      </c>
      <c r="AD52" s="161">
        <f>+F52-'[2]Data FY23-24 Final'!F52</f>
        <v>18646310</v>
      </c>
      <c r="AE52" s="161">
        <f>+G52-'[2]Data FY23-24 Final'!G52</f>
        <v>-234965.66999999998</v>
      </c>
      <c r="AF52" s="186">
        <f>+H52-'[2]Data FY23-24 Final'!H52</f>
        <v>0</v>
      </c>
      <c r="AG52" s="186">
        <f>+I52-'[2]Data FY23-24 Final'!I52</f>
        <v>0</v>
      </c>
      <c r="AH52" s="186">
        <f>+J52-'[2]Data FY23-24 Final'!J52</f>
        <v>0</v>
      </c>
      <c r="AI52" s="186">
        <f>+K52-'[2]Data FY23-24 Final'!K52</f>
        <v>0</v>
      </c>
      <c r="AJ52" s="186">
        <f>+L52-'[2]Data FY23-24 Final'!L52</f>
        <v>0</v>
      </c>
      <c r="AK52" s="186">
        <f>+M52-'[2]Data FY23-24 Final'!M52</f>
        <v>0</v>
      </c>
      <c r="AL52" s="186">
        <f>+N52-'[2]Data FY23-24 Final'!N52</f>
        <v>0</v>
      </c>
      <c r="AM52" s="186">
        <f>+O52-'[2]Data FY23-24 Final'!O52</f>
        <v>-0.31899999999999995</v>
      </c>
      <c r="AN52" s="186">
        <f>+P52-'[2]Data FY23-24 Final'!P52</f>
        <v>-0.23956883729162759</v>
      </c>
      <c r="AO52" s="186">
        <f>+Q52-'[2]Data FY23-24 Final'!Q52</f>
        <v>-0.55856883729162732</v>
      </c>
      <c r="AP52" s="186">
        <f>+R52-'[2]Data FY23-24 Final'!R52</f>
        <v>-14.757999999999999</v>
      </c>
      <c r="AQ52" s="186">
        <f>+S52-'[2]Data FY23-24 Final'!S52</f>
        <v>0</v>
      </c>
      <c r="AR52" s="186">
        <f>+T52-'[2]Data FY23-24 Final'!T52</f>
        <v>0</v>
      </c>
      <c r="AS52" s="186">
        <f>+U52-'[2]Data FY23-24 Final'!U52</f>
        <v>0</v>
      </c>
      <c r="AT52" s="186">
        <f>+V52-'[2]Data FY23-24 Final'!V52</f>
        <v>0</v>
      </c>
      <c r="AU52" s="186">
        <f>+W52-'[2]Data FY23-24 Final'!W52</f>
        <v>-15.31656883729163</v>
      </c>
      <c r="AV52" s="186">
        <f>+X52-'[2]Data FY23-24 Final'!X52</f>
        <v>0</v>
      </c>
      <c r="AW52" s="161">
        <f>+Y52-'[2]Data FY23-24 Final'!Y52</f>
        <v>-967489.81000000238</v>
      </c>
      <c r="AX52" s="161">
        <f>+Z52-'[2]Data FY23-24 Final'!Z52</f>
        <v>-1953074.8691999912</v>
      </c>
    </row>
    <row r="53" spans="1:50" s="154" customFormat="1" ht="13" x14ac:dyDescent="0.3">
      <c r="A53" s="187" t="s">
        <v>185</v>
      </c>
      <c r="B53" s="187" t="s">
        <v>181</v>
      </c>
      <c r="C53" s="194" t="s">
        <v>186</v>
      </c>
      <c r="D53" s="349">
        <v>848905200</v>
      </c>
      <c r="E53" s="349">
        <v>2600690</v>
      </c>
      <c r="F53" s="349">
        <v>846304510</v>
      </c>
      <c r="G53" s="350">
        <v>66875.28</v>
      </c>
      <c r="H53" s="348">
        <v>27</v>
      </c>
      <c r="I53" s="348">
        <v>1.1059999999999981</v>
      </c>
      <c r="J53" s="210">
        <f t="shared" si="6"/>
        <v>25.894000000000002</v>
      </c>
      <c r="K53" s="185">
        <v>0</v>
      </c>
      <c r="L53" s="197">
        <v>0</v>
      </c>
      <c r="M53" s="185">
        <v>0</v>
      </c>
      <c r="N53" s="210">
        <v>0</v>
      </c>
      <c r="O53" s="316">
        <v>4.319</v>
      </c>
      <c r="P53" s="211">
        <f t="shared" si="2"/>
        <v>7.9020351669873534E-2</v>
      </c>
      <c r="Q53" s="317">
        <f t="shared" si="3"/>
        <v>30.292020351669876</v>
      </c>
      <c r="R53" s="196"/>
      <c r="S53" s="196"/>
      <c r="T53" s="196"/>
      <c r="U53" s="196"/>
      <c r="V53" s="196"/>
      <c r="W53" s="196">
        <f t="shared" si="4"/>
        <v>30.292020351669876</v>
      </c>
      <c r="X53" s="185">
        <v>101.90900000000001</v>
      </c>
      <c r="Y53" s="220">
        <v>95049061.319999993</v>
      </c>
      <c r="Z53" s="220">
        <v>70442068.105000004</v>
      </c>
      <c r="AB53" s="161">
        <f>+D53-'[2]Data FY23-24 Final'!D53</f>
        <v>-6741560</v>
      </c>
      <c r="AC53" s="161">
        <f>+E53-'[2]Data FY23-24 Final'!E53</f>
        <v>529750</v>
      </c>
      <c r="AD53" s="161">
        <f>+F53-'[2]Data FY23-24 Final'!F53</f>
        <v>-7271310</v>
      </c>
      <c r="AE53" s="161">
        <f>+G53-'[2]Data FY23-24 Final'!G53</f>
        <v>19412.339999999997</v>
      </c>
      <c r="AF53" s="186">
        <f>+H53-'[2]Data FY23-24 Final'!H53</f>
        <v>0</v>
      </c>
      <c r="AG53" s="186">
        <f>+I53-'[2]Data FY23-24 Final'!I53</f>
        <v>-1.0000000000000018</v>
      </c>
      <c r="AH53" s="186">
        <f>+J53-'[2]Data FY23-24 Final'!J53</f>
        <v>1.0000000000000036</v>
      </c>
      <c r="AI53" s="186">
        <f>+K53-'[2]Data FY23-24 Final'!K53</f>
        <v>0</v>
      </c>
      <c r="AJ53" s="186">
        <f>+L53-'[2]Data FY23-24 Final'!L53</f>
        <v>0</v>
      </c>
      <c r="AK53" s="186">
        <f>+M53-'[2]Data FY23-24 Final'!M53</f>
        <v>0</v>
      </c>
      <c r="AL53" s="186">
        <f>+N53-'[2]Data FY23-24 Final'!N53</f>
        <v>0</v>
      </c>
      <c r="AM53" s="186">
        <f>+O53-'[2]Data FY23-24 Final'!O53</f>
        <v>-6.8159999999999998</v>
      </c>
      <c r="AN53" s="186">
        <f>+P53-'[2]Data FY23-24 Final'!P53</f>
        <v>2.3020351669873533E-2</v>
      </c>
      <c r="AO53" s="186">
        <f>+Q53-'[2]Data FY23-24 Final'!Q53</f>
        <v>-5.7929796483301246</v>
      </c>
      <c r="AP53" s="186">
        <f>+R53-'[2]Data FY23-24 Final'!R53</f>
        <v>-4.7</v>
      </c>
      <c r="AQ53" s="186">
        <f>+S53-'[2]Data FY23-24 Final'!S53</f>
        <v>0</v>
      </c>
      <c r="AR53" s="186">
        <f>+T53-'[2]Data FY23-24 Final'!T53</f>
        <v>0</v>
      </c>
      <c r="AS53" s="186">
        <f>+U53-'[2]Data FY23-24 Final'!U53</f>
        <v>0</v>
      </c>
      <c r="AT53" s="186">
        <f>+V53-'[2]Data FY23-24 Final'!V53</f>
        <v>-6.3120000000000003</v>
      </c>
      <c r="AU53" s="186">
        <f>+W53-'[2]Data FY23-24 Final'!W53</f>
        <v>-16.804979648330125</v>
      </c>
      <c r="AV53" s="186">
        <f>+X53-'[2]Data FY23-24 Final'!X53</f>
        <v>0</v>
      </c>
      <c r="AW53" s="161">
        <f>+Y53-'[2]Data FY23-24 Final'!Y53</f>
        <v>1444112.2699999958</v>
      </c>
      <c r="AX53" s="161">
        <f>+Z53-'[2]Data FY23-24 Final'!Z53</f>
        <v>148376.50808000565</v>
      </c>
    </row>
    <row r="54" spans="1:50" s="154" customFormat="1" ht="13" x14ac:dyDescent="0.3">
      <c r="A54" s="187" t="s">
        <v>187</v>
      </c>
      <c r="B54" s="187" t="s">
        <v>181</v>
      </c>
      <c r="C54" s="194" t="s">
        <v>188</v>
      </c>
      <c r="D54" s="349">
        <v>248849660</v>
      </c>
      <c r="E54" s="349">
        <v>5727870</v>
      </c>
      <c r="F54" s="349">
        <v>243121790</v>
      </c>
      <c r="G54" s="350">
        <v>80.92</v>
      </c>
      <c r="H54" s="348">
        <v>27</v>
      </c>
      <c r="I54" s="348">
        <v>3.3159999999999989</v>
      </c>
      <c r="J54" s="210">
        <f t="shared" si="6"/>
        <v>23.684000000000001</v>
      </c>
      <c r="K54" s="185">
        <v>0</v>
      </c>
      <c r="L54" s="197">
        <v>0</v>
      </c>
      <c r="M54" s="185">
        <v>0</v>
      </c>
      <c r="N54" s="210">
        <v>0</v>
      </c>
      <c r="O54" s="316">
        <v>2.6850000000000001</v>
      </c>
      <c r="P54" s="211">
        <f t="shared" si="2"/>
        <v>3.3283729936341784E-4</v>
      </c>
      <c r="Q54" s="317">
        <f t="shared" si="3"/>
        <v>26.369332837299364</v>
      </c>
      <c r="R54" s="196"/>
      <c r="S54" s="196"/>
      <c r="T54" s="196"/>
      <c r="U54" s="196"/>
      <c r="V54" s="196"/>
      <c r="W54" s="196">
        <f t="shared" si="4"/>
        <v>26.369332837299364</v>
      </c>
      <c r="X54" s="185">
        <v>307.363</v>
      </c>
      <c r="Y54" s="220">
        <v>80558669.510000005</v>
      </c>
      <c r="Z54" s="220">
        <v>74207209.522200003</v>
      </c>
      <c r="AB54" s="161">
        <f>+D54-'[2]Data FY23-24 Final'!D54</f>
        <v>1289830</v>
      </c>
      <c r="AC54" s="161">
        <f>+E54-'[2]Data FY23-24 Final'!E54</f>
        <v>827450</v>
      </c>
      <c r="AD54" s="161">
        <f>+F54-'[2]Data FY23-24 Final'!F54</f>
        <v>462380</v>
      </c>
      <c r="AE54" s="161">
        <f>+G54-'[2]Data FY23-24 Final'!G54</f>
        <v>-11357.2</v>
      </c>
      <c r="AF54" s="186">
        <f>+H54-'[2]Data FY23-24 Final'!H54</f>
        <v>0</v>
      </c>
      <c r="AG54" s="186">
        <f>+I54-'[2]Data FY23-24 Final'!I54</f>
        <v>-1.0000000000000009</v>
      </c>
      <c r="AH54" s="186">
        <f>+J54-'[2]Data FY23-24 Final'!J54</f>
        <v>1</v>
      </c>
      <c r="AI54" s="186">
        <f>+K54-'[2]Data FY23-24 Final'!K54</f>
        <v>0</v>
      </c>
      <c r="AJ54" s="186">
        <f>+L54-'[2]Data FY23-24 Final'!L54</f>
        <v>0</v>
      </c>
      <c r="AK54" s="186">
        <f>+M54-'[2]Data FY23-24 Final'!M54</f>
        <v>0</v>
      </c>
      <c r="AL54" s="186">
        <f>+N54-'[2]Data FY23-24 Final'!N54</f>
        <v>0</v>
      </c>
      <c r="AM54" s="186">
        <f>+O54-'[2]Data FY23-24 Final'!O54</f>
        <v>-2.3149999999999999</v>
      </c>
      <c r="AN54" s="186">
        <f>+P54-'[2]Data FY23-24 Final'!P54</f>
        <v>-4.6667162700636582E-2</v>
      </c>
      <c r="AO54" s="186">
        <f>+Q54-'[2]Data FY23-24 Final'!Q54</f>
        <v>-1.3616671627006376</v>
      </c>
      <c r="AP54" s="186">
        <f>+R54-'[2]Data FY23-24 Final'!R54</f>
        <v>0</v>
      </c>
      <c r="AQ54" s="186">
        <f>+S54-'[2]Data FY23-24 Final'!S54</f>
        <v>0</v>
      </c>
      <c r="AR54" s="186">
        <f>+T54-'[2]Data FY23-24 Final'!T54</f>
        <v>0</v>
      </c>
      <c r="AS54" s="186">
        <f>+U54-'[2]Data FY23-24 Final'!U54</f>
        <v>0</v>
      </c>
      <c r="AT54" s="186">
        <f>+V54-'[2]Data FY23-24 Final'!V54</f>
        <v>0</v>
      </c>
      <c r="AU54" s="186">
        <f>+W54-'[2]Data FY23-24 Final'!W54</f>
        <v>-1.3616671627006376</v>
      </c>
      <c r="AV54" s="186">
        <f>+X54-'[2]Data FY23-24 Final'!X54</f>
        <v>0</v>
      </c>
      <c r="AW54" s="161">
        <f>+Y54-'[2]Data FY23-24 Final'!Y54</f>
        <v>1232005.3599999994</v>
      </c>
      <c r="AX54" s="161">
        <f>+Z54-'[2]Data FY23-24 Final'!Z54</f>
        <v>842917.6986399889</v>
      </c>
    </row>
    <row r="55" spans="1:50" s="154" customFormat="1" ht="13" x14ac:dyDescent="0.3">
      <c r="A55" s="187" t="s">
        <v>189</v>
      </c>
      <c r="B55" s="187" t="s">
        <v>181</v>
      </c>
      <c r="C55" s="194" t="s">
        <v>190</v>
      </c>
      <c r="D55" s="349">
        <v>4249840480</v>
      </c>
      <c r="E55" s="349">
        <v>120279180</v>
      </c>
      <c r="F55" s="349">
        <v>4129561300</v>
      </c>
      <c r="G55" s="350">
        <v>460626.58</v>
      </c>
      <c r="H55" s="348">
        <v>20.715</v>
      </c>
      <c r="I55" s="348">
        <v>0</v>
      </c>
      <c r="J55" s="210">
        <f t="shared" si="6"/>
        <v>20.715</v>
      </c>
      <c r="K55" s="185">
        <v>0</v>
      </c>
      <c r="L55" s="197">
        <v>0</v>
      </c>
      <c r="M55" s="185">
        <v>0</v>
      </c>
      <c r="N55" s="210">
        <v>0</v>
      </c>
      <c r="O55" s="316">
        <v>16.396000000000001</v>
      </c>
      <c r="P55" s="211">
        <f t="shared" si="2"/>
        <v>0.1115437080447262</v>
      </c>
      <c r="Q55" s="317">
        <f t="shared" si="3"/>
        <v>37.222543708044732</v>
      </c>
      <c r="R55" s="196"/>
      <c r="S55" s="196"/>
      <c r="T55" s="196"/>
      <c r="U55" s="196"/>
      <c r="V55" s="196"/>
      <c r="W55" s="196">
        <f t="shared" si="4"/>
        <v>37.222543708044732</v>
      </c>
      <c r="X55" s="185">
        <v>61.637</v>
      </c>
      <c r="Y55" s="220">
        <v>276549932.69999999</v>
      </c>
      <c r="Z55" s="220">
        <v>177995103.34884998</v>
      </c>
      <c r="AB55" s="161">
        <f>+D55-'[2]Data FY23-24 Final'!D55</f>
        <v>16150810</v>
      </c>
      <c r="AC55" s="161">
        <f>+E55-'[2]Data FY23-24 Final'!E55</f>
        <v>8456020</v>
      </c>
      <c r="AD55" s="161">
        <f>+F55-'[2]Data FY23-24 Final'!F55</f>
        <v>7694790</v>
      </c>
      <c r="AE55" s="161">
        <f>+G55-'[2]Data FY23-24 Final'!G55</f>
        <v>-499647.85999999993</v>
      </c>
      <c r="AF55" s="186">
        <f>+H55-'[2]Data FY23-24 Final'!H55</f>
        <v>0</v>
      </c>
      <c r="AG55" s="186">
        <f>+I55-'[2]Data FY23-24 Final'!I55</f>
        <v>0</v>
      </c>
      <c r="AH55" s="186">
        <f>+J55-'[2]Data FY23-24 Final'!J55</f>
        <v>0</v>
      </c>
      <c r="AI55" s="186">
        <f>+K55-'[2]Data FY23-24 Final'!K55</f>
        <v>0</v>
      </c>
      <c r="AJ55" s="186">
        <f>+L55-'[2]Data FY23-24 Final'!L55</f>
        <v>0</v>
      </c>
      <c r="AK55" s="186">
        <f>+M55-'[2]Data FY23-24 Final'!M55</f>
        <v>0</v>
      </c>
      <c r="AL55" s="186">
        <f>+N55-'[2]Data FY23-24 Final'!N55</f>
        <v>0</v>
      </c>
      <c r="AM55" s="186">
        <f>+O55-'[2]Data FY23-24 Final'!O55</f>
        <v>-2.7249999999999979</v>
      </c>
      <c r="AN55" s="186">
        <f>+P55-'[2]Data FY23-24 Final'!P55</f>
        <v>-0.12145629195527381</v>
      </c>
      <c r="AO55" s="186">
        <f>+Q55-'[2]Data FY23-24 Final'!Q55</f>
        <v>-2.8464562919552705</v>
      </c>
      <c r="AP55" s="186">
        <f>+R55-'[2]Data FY23-24 Final'!R55</f>
        <v>0</v>
      </c>
      <c r="AQ55" s="186">
        <f>+S55-'[2]Data FY23-24 Final'!S55</f>
        <v>0</v>
      </c>
      <c r="AR55" s="186">
        <f>+T55-'[2]Data FY23-24 Final'!T55</f>
        <v>0</v>
      </c>
      <c r="AS55" s="186">
        <f>+U55-'[2]Data FY23-24 Final'!U55</f>
        <v>0</v>
      </c>
      <c r="AT55" s="186">
        <f>+V55-'[2]Data FY23-24 Final'!V55</f>
        <v>0</v>
      </c>
      <c r="AU55" s="186">
        <f>+W55-'[2]Data FY23-24 Final'!W55</f>
        <v>-2.8464562919552705</v>
      </c>
      <c r="AV55" s="186">
        <f>+X55-'[2]Data FY23-24 Final'!X55</f>
        <v>0</v>
      </c>
      <c r="AW55" s="161">
        <f>+Y55-'[2]Data FY23-24 Final'!Y55</f>
        <v>38795714.429999977</v>
      </c>
      <c r="AX55" s="161">
        <f>+Z55-'[2]Data FY23-24 Final'!Z55</f>
        <v>33674821.553499967</v>
      </c>
    </row>
    <row r="56" spans="1:50" s="154" customFormat="1" ht="13" x14ac:dyDescent="0.3">
      <c r="A56" s="187" t="s">
        <v>191</v>
      </c>
      <c r="B56" s="187" t="s">
        <v>181</v>
      </c>
      <c r="C56" s="194" t="s">
        <v>192</v>
      </c>
      <c r="D56" s="349">
        <v>535327960</v>
      </c>
      <c r="E56" s="349">
        <v>0</v>
      </c>
      <c r="F56" s="349">
        <v>535327960</v>
      </c>
      <c r="G56" s="350">
        <v>1120.3599999999999</v>
      </c>
      <c r="H56" s="348">
        <v>27</v>
      </c>
      <c r="I56" s="348">
        <v>0</v>
      </c>
      <c r="J56" s="210">
        <f t="shared" si="6"/>
        <v>27</v>
      </c>
      <c r="K56" s="185">
        <v>0</v>
      </c>
      <c r="L56" s="197">
        <v>0</v>
      </c>
      <c r="M56" s="185">
        <v>0</v>
      </c>
      <c r="N56" s="210">
        <v>0</v>
      </c>
      <c r="O56" s="316">
        <v>9.1590000000000007</v>
      </c>
      <c r="P56" s="211">
        <f t="shared" si="2"/>
        <v>2.0928479057959158E-3</v>
      </c>
      <c r="Q56" s="317">
        <f t="shared" si="3"/>
        <v>36.161092847905792</v>
      </c>
      <c r="R56" s="196"/>
      <c r="S56" s="196"/>
      <c r="T56" s="196"/>
      <c r="U56" s="196"/>
      <c r="V56" s="196"/>
      <c r="W56" s="196">
        <f t="shared" si="4"/>
        <v>36.161092847905792</v>
      </c>
      <c r="X56" s="185">
        <v>63.027000000000001</v>
      </c>
      <c r="Y56" s="220">
        <v>36857490.240000002</v>
      </c>
      <c r="Z56" s="220">
        <v>20287165.717800003</v>
      </c>
      <c r="AB56" s="161">
        <f>+D56-'[2]Data FY23-24 Final'!D56</f>
        <v>-356510</v>
      </c>
      <c r="AC56" s="161">
        <f>+E56-'[2]Data FY23-24 Final'!E56</f>
        <v>0</v>
      </c>
      <c r="AD56" s="161">
        <f>+F56-'[2]Data FY23-24 Final'!F56</f>
        <v>-356510</v>
      </c>
      <c r="AE56" s="161">
        <f>+G56-'[2]Data FY23-24 Final'!G56</f>
        <v>-22715</v>
      </c>
      <c r="AF56" s="186">
        <f>+H56-'[2]Data FY23-24 Final'!H56</f>
        <v>0</v>
      </c>
      <c r="AG56" s="186">
        <f>+I56-'[2]Data FY23-24 Final'!I56</f>
        <v>0</v>
      </c>
      <c r="AH56" s="186">
        <f>+J56-'[2]Data FY23-24 Final'!J56</f>
        <v>0</v>
      </c>
      <c r="AI56" s="186">
        <f>+K56-'[2]Data FY23-24 Final'!K56</f>
        <v>0</v>
      </c>
      <c r="AJ56" s="186">
        <f>+L56-'[2]Data FY23-24 Final'!L56</f>
        <v>0</v>
      </c>
      <c r="AK56" s="186">
        <f>+M56-'[2]Data FY23-24 Final'!M56</f>
        <v>0</v>
      </c>
      <c r="AL56" s="186">
        <f>+N56-'[2]Data FY23-24 Final'!N56</f>
        <v>0</v>
      </c>
      <c r="AM56" s="186">
        <f>+O56-'[2]Data FY23-24 Final'!O56</f>
        <v>-8.1959999999999997</v>
      </c>
      <c r="AN56" s="186">
        <f>+P56-'[2]Data FY23-24 Final'!P56</f>
        <v>-4.2907152094204079E-2</v>
      </c>
      <c r="AO56" s="186">
        <f>+Q56-'[2]Data FY23-24 Final'!Q56</f>
        <v>-8.2389071520942068</v>
      </c>
      <c r="AP56" s="186">
        <f>+R56-'[2]Data FY23-24 Final'!R56</f>
        <v>-10.6</v>
      </c>
      <c r="AQ56" s="186">
        <f>+S56-'[2]Data FY23-24 Final'!S56</f>
        <v>0</v>
      </c>
      <c r="AR56" s="186">
        <f>+T56-'[2]Data FY23-24 Final'!T56</f>
        <v>0</v>
      </c>
      <c r="AS56" s="186">
        <f>+U56-'[2]Data FY23-24 Final'!U56</f>
        <v>0</v>
      </c>
      <c r="AT56" s="186">
        <f>+V56-'[2]Data FY23-24 Final'!V56</f>
        <v>0</v>
      </c>
      <c r="AU56" s="186">
        <f>+W56-'[2]Data FY23-24 Final'!W56</f>
        <v>-18.838907152094208</v>
      </c>
      <c r="AV56" s="186">
        <f>+X56-'[2]Data FY23-24 Final'!X56</f>
        <v>0</v>
      </c>
      <c r="AW56" s="161">
        <f>+Y56-'[2]Data FY23-24 Final'!Y56</f>
        <v>313492.6099999994</v>
      </c>
      <c r="AX56" s="161">
        <f>+Z56-'[2]Data FY23-24 Final'!Z56</f>
        <v>-464935.03220000118</v>
      </c>
    </row>
    <row r="57" spans="1:50" s="154" customFormat="1" ht="13" x14ac:dyDescent="0.3">
      <c r="A57" s="187" t="s">
        <v>193</v>
      </c>
      <c r="B57" s="187" t="s">
        <v>181</v>
      </c>
      <c r="C57" s="194" t="s">
        <v>194</v>
      </c>
      <c r="D57" s="349">
        <v>187119160</v>
      </c>
      <c r="E57" s="349">
        <v>2611180</v>
      </c>
      <c r="F57" s="349">
        <v>184507980</v>
      </c>
      <c r="G57" s="350">
        <v>1688.85</v>
      </c>
      <c r="H57" s="348">
        <v>27</v>
      </c>
      <c r="I57" s="348">
        <v>0.18400000000000105</v>
      </c>
      <c r="J57" s="210">
        <f t="shared" si="6"/>
        <v>26.815999999999999</v>
      </c>
      <c r="K57" s="185">
        <v>0</v>
      </c>
      <c r="L57" s="197">
        <v>0</v>
      </c>
      <c r="M57" s="185">
        <v>0</v>
      </c>
      <c r="N57" s="210">
        <v>0</v>
      </c>
      <c r="O57" s="316">
        <v>9.7439999999999998</v>
      </c>
      <c r="P57" s="211">
        <f t="shared" si="2"/>
        <v>9.1532626393720212E-3</v>
      </c>
      <c r="Q57" s="317">
        <f t="shared" si="3"/>
        <v>36.569153262639375</v>
      </c>
      <c r="R57" s="196"/>
      <c r="S57" s="196"/>
      <c r="T57" s="196"/>
      <c r="U57" s="196"/>
      <c r="V57" s="196"/>
      <c r="W57" s="196">
        <f t="shared" si="4"/>
        <v>36.569153262639375</v>
      </c>
      <c r="X57" s="185">
        <v>70.731000000000009</v>
      </c>
      <c r="Y57" s="220">
        <v>14192406.91</v>
      </c>
      <c r="Z57" s="220">
        <v>8758106.1612999998</v>
      </c>
      <c r="AB57" s="161">
        <f>+D57-'[2]Data FY23-24 Final'!D57</f>
        <v>1582330</v>
      </c>
      <c r="AC57" s="161">
        <f>+E57-'[2]Data FY23-24 Final'!E57</f>
        <v>-2400</v>
      </c>
      <c r="AD57" s="161">
        <f>+F57-'[2]Data FY23-24 Final'!F57</f>
        <v>1584730</v>
      </c>
      <c r="AE57" s="161">
        <f>+G57-'[2]Data FY23-24 Final'!G57</f>
        <v>-37897.620000000003</v>
      </c>
      <c r="AF57" s="186">
        <f>+H57-'[2]Data FY23-24 Final'!H57</f>
        <v>0</v>
      </c>
      <c r="AG57" s="186">
        <f>+I57-'[2]Data FY23-24 Final'!I57</f>
        <v>-0.99999999999999889</v>
      </c>
      <c r="AH57" s="186">
        <f>+J57-'[2]Data FY23-24 Final'!J57</f>
        <v>1</v>
      </c>
      <c r="AI57" s="186">
        <f>+K57-'[2]Data FY23-24 Final'!K57</f>
        <v>0</v>
      </c>
      <c r="AJ57" s="186">
        <f>+L57-'[2]Data FY23-24 Final'!L57</f>
        <v>0</v>
      </c>
      <c r="AK57" s="186">
        <f>+M57-'[2]Data FY23-24 Final'!M57</f>
        <v>0</v>
      </c>
      <c r="AL57" s="186">
        <f>+N57-'[2]Data FY23-24 Final'!N57</f>
        <v>0</v>
      </c>
      <c r="AM57" s="186">
        <f>+O57-'[2]Data FY23-24 Final'!O57</f>
        <v>-13.431999999999999</v>
      </c>
      <c r="AN57" s="186">
        <f>+P57-'[2]Data FY23-24 Final'!P57</f>
        <v>-0.20684673736062797</v>
      </c>
      <c r="AO57" s="186">
        <f>+Q57-'[2]Data FY23-24 Final'!Q57</f>
        <v>-12.638846737360623</v>
      </c>
      <c r="AP57" s="186">
        <f>+R57-'[2]Data FY23-24 Final'!R57</f>
        <v>0</v>
      </c>
      <c r="AQ57" s="186">
        <f>+S57-'[2]Data FY23-24 Final'!S57</f>
        <v>0</v>
      </c>
      <c r="AR57" s="186">
        <f>+T57-'[2]Data FY23-24 Final'!T57</f>
        <v>0</v>
      </c>
      <c r="AS57" s="186">
        <f>+U57-'[2]Data FY23-24 Final'!U57</f>
        <v>0</v>
      </c>
      <c r="AT57" s="186">
        <f>+V57-'[2]Data FY23-24 Final'!V57</f>
        <v>0</v>
      </c>
      <c r="AU57" s="186">
        <f>+W57-'[2]Data FY23-24 Final'!W57</f>
        <v>-12.638846737360623</v>
      </c>
      <c r="AV57" s="186">
        <f>+X57-'[2]Data FY23-24 Final'!X57</f>
        <v>0</v>
      </c>
      <c r="AW57" s="161">
        <f>+Y57-'[2]Data FY23-24 Final'!Y57</f>
        <v>83610.859999999404</v>
      </c>
      <c r="AX57" s="161">
        <f>+Z57-'[2]Data FY23-24 Final'!Z57</f>
        <v>-227647.29670000076</v>
      </c>
    </row>
    <row r="58" spans="1:50" s="154" customFormat="1" ht="13" x14ac:dyDescent="0.3">
      <c r="A58" s="187" t="s">
        <v>195</v>
      </c>
      <c r="B58" s="187" t="s">
        <v>181</v>
      </c>
      <c r="C58" s="194" t="s">
        <v>196</v>
      </c>
      <c r="D58" s="349">
        <v>2830329950</v>
      </c>
      <c r="E58" s="349">
        <v>50983330</v>
      </c>
      <c r="F58" s="349">
        <v>2779346620</v>
      </c>
      <c r="G58" s="350">
        <v>299884.36</v>
      </c>
      <c r="H58" s="348">
        <v>27</v>
      </c>
      <c r="I58" s="348">
        <v>0</v>
      </c>
      <c r="J58" s="210">
        <f t="shared" si="6"/>
        <v>27</v>
      </c>
      <c r="K58" s="185">
        <v>0</v>
      </c>
      <c r="L58" s="197">
        <v>0</v>
      </c>
      <c r="M58" s="185">
        <v>0</v>
      </c>
      <c r="N58" s="210">
        <v>0</v>
      </c>
      <c r="O58" s="316">
        <v>9.2449999999999992</v>
      </c>
      <c r="P58" s="211">
        <f t="shared" si="2"/>
        <v>0.10789743094367985</v>
      </c>
      <c r="Q58" s="317">
        <f t="shared" si="3"/>
        <v>36.352897430943678</v>
      </c>
      <c r="R58" s="196"/>
      <c r="S58" s="196"/>
      <c r="T58" s="196"/>
      <c r="U58" s="196"/>
      <c r="V58" s="196"/>
      <c r="W58" s="196">
        <f t="shared" si="4"/>
        <v>36.352897430943678</v>
      </c>
      <c r="X58" s="185">
        <v>87.867999999999995</v>
      </c>
      <c r="Y58" s="220">
        <v>261272402.69</v>
      </c>
      <c r="Z58" s="220">
        <v>176117566.39379999</v>
      </c>
      <c r="AB58" s="161">
        <f>+D58-'[2]Data FY23-24 Final'!D58</f>
        <v>18930310</v>
      </c>
      <c r="AC58" s="161">
        <f>+E58-'[2]Data FY23-24 Final'!E58</f>
        <v>3817130</v>
      </c>
      <c r="AD58" s="161">
        <f>+F58-'[2]Data FY23-24 Final'!F58</f>
        <v>15113180</v>
      </c>
      <c r="AE58" s="161">
        <f>+G58-'[2]Data FY23-24 Final'!G58</f>
        <v>-1586175.6099999999</v>
      </c>
      <c r="AF58" s="186">
        <f>+H58-'[2]Data FY23-24 Final'!H58</f>
        <v>0</v>
      </c>
      <c r="AG58" s="186">
        <f>+I58-'[2]Data FY23-24 Final'!I58</f>
        <v>0</v>
      </c>
      <c r="AH58" s="186">
        <f>+J58-'[2]Data FY23-24 Final'!J58</f>
        <v>0</v>
      </c>
      <c r="AI58" s="186">
        <f>+K58-'[2]Data FY23-24 Final'!K58</f>
        <v>0</v>
      </c>
      <c r="AJ58" s="186">
        <f>+L58-'[2]Data FY23-24 Final'!L58</f>
        <v>0</v>
      </c>
      <c r="AK58" s="186">
        <f>+M58-'[2]Data FY23-24 Final'!M58</f>
        <v>0</v>
      </c>
      <c r="AL58" s="186">
        <f>+N58-'[2]Data FY23-24 Final'!N58</f>
        <v>0</v>
      </c>
      <c r="AM58" s="186">
        <f>+O58-'[2]Data FY23-24 Final'!O58</f>
        <v>-0.43100000000000094</v>
      </c>
      <c r="AN58" s="186">
        <f>+P58-'[2]Data FY23-24 Final'!P58</f>
        <v>-0.57110256905632018</v>
      </c>
      <c r="AO58" s="186">
        <f>+Q58-'[2]Data FY23-24 Final'!Q58</f>
        <v>-1.0021025690563192</v>
      </c>
      <c r="AP58" s="186">
        <f>+R58-'[2]Data FY23-24 Final'!R58</f>
        <v>-10.512</v>
      </c>
      <c r="AQ58" s="186">
        <f>+S58-'[2]Data FY23-24 Final'!S58</f>
        <v>0</v>
      </c>
      <c r="AR58" s="186">
        <f>+T58-'[2]Data FY23-24 Final'!T58</f>
        <v>0</v>
      </c>
      <c r="AS58" s="186">
        <f>+U58-'[2]Data FY23-24 Final'!U58</f>
        <v>0</v>
      </c>
      <c r="AT58" s="186">
        <f>+V58-'[2]Data FY23-24 Final'!V58</f>
        <v>0</v>
      </c>
      <c r="AU58" s="186">
        <f>+W58-'[2]Data FY23-24 Final'!W58</f>
        <v>-11.51410256905632</v>
      </c>
      <c r="AV58" s="186">
        <f>+X58-'[2]Data FY23-24 Final'!X58</f>
        <v>0</v>
      </c>
      <c r="AW58" s="161">
        <f>+Y58-'[2]Data FY23-24 Final'!Y58</f>
        <v>3422138.1699999869</v>
      </c>
      <c r="AX58" s="161">
        <f>+Z58-'[2]Data FY23-24 Final'!Z58</f>
        <v>-519615.84620001912</v>
      </c>
    </row>
    <row r="59" spans="1:50" s="154" customFormat="1" ht="13" x14ac:dyDescent="0.3">
      <c r="A59" s="187" t="s">
        <v>197</v>
      </c>
      <c r="B59" s="187" t="s">
        <v>181</v>
      </c>
      <c r="C59" s="194" t="s">
        <v>198</v>
      </c>
      <c r="D59" s="349">
        <v>62654220</v>
      </c>
      <c r="E59" s="349">
        <v>0</v>
      </c>
      <c r="F59" s="349">
        <v>62654220</v>
      </c>
      <c r="G59" s="350">
        <v>4036.53</v>
      </c>
      <c r="H59" s="348">
        <v>27</v>
      </c>
      <c r="I59" s="348">
        <v>0</v>
      </c>
      <c r="J59" s="210">
        <f t="shared" si="6"/>
        <v>27</v>
      </c>
      <c r="K59" s="185">
        <v>0</v>
      </c>
      <c r="L59" s="197">
        <v>0</v>
      </c>
      <c r="M59" s="185">
        <v>0</v>
      </c>
      <c r="N59" s="210">
        <v>0</v>
      </c>
      <c r="O59" s="316">
        <v>0</v>
      </c>
      <c r="P59" s="211">
        <f t="shared" si="2"/>
        <v>6.4425508768603298E-2</v>
      </c>
      <c r="Q59" s="317">
        <f t="shared" si="3"/>
        <v>27.064425508768604</v>
      </c>
      <c r="R59" s="196"/>
      <c r="S59" s="196"/>
      <c r="T59" s="196"/>
      <c r="U59" s="196"/>
      <c r="V59" s="196"/>
      <c r="W59" s="196">
        <f t="shared" si="4"/>
        <v>27.064425508768604</v>
      </c>
      <c r="X59" s="185">
        <v>170.589</v>
      </c>
      <c r="Y59" s="220">
        <v>10936799.289999999</v>
      </c>
      <c r="Z59" s="220">
        <v>9135241.9892999995</v>
      </c>
      <c r="AB59" s="161">
        <f>+D59-'[2]Data FY23-24 Final'!D59</f>
        <v>1978540</v>
      </c>
      <c r="AC59" s="161">
        <f>+E59-'[2]Data FY23-24 Final'!E59</f>
        <v>0</v>
      </c>
      <c r="AD59" s="161">
        <f>+F59-'[2]Data FY23-24 Final'!F59</f>
        <v>1978540</v>
      </c>
      <c r="AE59" s="161">
        <f>+G59-'[2]Data FY23-24 Final'!G59</f>
        <v>3820.9900000000002</v>
      </c>
      <c r="AF59" s="186">
        <f>+H59-'[2]Data FY23-24 Final'!H59</f>
        <v>0</v>
      </c>
      <c r="AG59" s="186">
        <f>+I59-'[2]Data FY23-24 Final'!I59</f>
        <v>0</v>
      </c>
      <c r="AH59" s="186">
        <f>+J59-'[2]Data FY23-24 Final'!J59</f>
        <v>0</v>
      </c>
      <c r="AI59" s="186">
        <f>+K59-'[2]Data FY23-24 Final'!K59</f>
        <v>0</v>
      </c>
      <c r="AJ59" s="186">
        <f>+L59-'[2]Data FY23-24 Final'!L59</f>
        <v>0</v>
      </c>
      <c r="AK59" s="186">
        <f>+M59-'[2]Data FY23-24 Final'!M59</f>
        <v>0</v>
      </c>
      <c r="AL59" s="186">
        <f>+N59-'[2]Data FY23-24 Final'!N59</f>
        <v>0</v>
      </c>
      <c r="AM59" s="186">
        <f>+O59-'[2]Data FY23-24 Final'!O59</f>
        <v>0</v>
      </c>
      <c r="AN59" s="186">
        <f>+P59-'[2]Data FY23-24 Final'!P59</f>
        <v>6.4425508768603298E-2</v>
      </c>
      <c r="AO59" s="186">
        <f>+Q59-'[2]Data FY23-24 Final'!Q59</f>
        <v>6.4425508768604089E-2</v>
      </c>
      <c r="AP59" s="186">
        <f>+R59-'[2]Data FY23-24 Final'!R59</f>
        <v>0</v>
      </c>
      <c r="AQ59" s="186">
        <f>+S59-'[2]Data FY23-24 Final'!S59</f>
        <v>0</v>
      </c>
      <c r="AR59" s="186">
        <f>+T59-'[2]Data FY23-24 Final'!T59</f>
        <v>0</v>
      </c>
      <c r="AS59" s="186">
        <f>+U59-'[2]Data FY23-24 Final'!U59</f>
        <v>0</v>
      </c>
      <c r="AT59" s="186">
        <f>+V59-'[2]Data FY23-24 Final'!V59</f>
        <v>0</v>
      </c>
      <c r="AU59" s="186">
        <f>+W59-'[2]Data FY23-24 Final'!W59</f>
        <v>6.4425508768604089E-2</v>
      </c>
      <c r="AV59" s="186">
        <f>+X59-'[2]Data FY23-24 Final'!X59</f>
        <v>0</v>
      </c>
      <c r="AW59" s="161">
        <f>+Y59-'[2]Data FY23-24 Final'!Y59</f>
        <v>240006.36999999918</v>
      </c>
      <c r="AX59" s="161">
        <f>+Z59-'[2]Data FY23-24 Final'!Z59</f>
        <v>185637.24929999933</v>
      </c>
    </row>
    <row r="60" spans="1:50" s="154" customFormat="1" x14ac:dyDescent="0.25">
      <c r="A60" s="187" t="s">
        <v>199</v>
      </c>
      <c r="B60" s="187" t="s">
        <v>181</v>
      </c>
      <c r="C60" s="194" t="s">
        <v>200</v>
      </c>
      <c r="D60" s="220">
        <v>78758800</v>
      </c>
      <c r="E60" s="220">
        <v>0</v>
      </c>
      <c r="F60" s="220">
        <f t="shared" si="5"/>
        <v>78758800</v>
      </c>
      <c r="G60" s="221">
        <v>19559.41</v>
      </c>
      <c r="H60" s="348">
        <v>27</v>
      </c>
      <c r="I60" s="348">
        <v>1.5809999999999995</v>
      </c>
      <c r="J60" s="210">
        <f t="shared" si="6"/>
        <v>25.419</v>
      </c>
      <c r="K60" s="185">
        <v>0</v>
      </c>
      <c r="L60" s="197">
        <v>0</v>
      </c>
      <c r="M60" s="185">
        <v>0</v>
      </c>
      <c r="N60" s="210">
        <v>0</v>
      </c>
      <c r="O60" s="316">
        <v>0</v>
      </c>
      <c r="P60" s="211">
        <f t="shared" si="2"/>
        <v>0.24834570867001526</v>
      </c>
      <c r="Q60" s="317">
        <f t="shared" si="3"/>
        <v>25.667345708670016</v>
      </c>
      <c r="R60" s="196"/>
      <c r="S60" s="196"/>
      <c r="T60" s="196"/>
      <c r="U60" s="196"/>
      <c r="V60" s="196"/>
      <c r="W60" s="196">
        <f t="shared" si="4"/>
        <v>25.667345708670016</v>
      </c>
      <c r="X60" s="185">
        <v>90.34</v>
      </c>
      <c r="Y60" s="220">
        <v>7245269.8499999996</v>
      </c>
      <c r="Z60" s="220">
        <v>5191890.1864999998</v>
      </c>
      <c r="AB60" s="161">
        <f>+D60-'[2]Data FY23-24 Final'!D60</f>
        <v>4192360</v>
      </c>
      <c r="AC60" s="161">
        <f>+E60-'[2]Data FY23-24 Final'!E60</f>
        <v>0</v>
      </c>
      <c r="AD60" s="161">
        <f>+F60-'[2]Data FY23-24 Final'!F60</f>
        <v>4192360</v>
      </c>
      <c r="AE60" s="161">
        <f>+G60-'[2]Data FY23-24 Final'!G60</f>
        <v>19559.41</v>
      </c>
      <c r="AF60" s="186">
        <f>+H60-'[2]Data FY23-24 Final'!H60</f>
        <v>0</v>
      </c>
      <c r="AG60" s="186">
        <f>+I60-'[2]Data FY23-24 Final'!I60</f>
        <v>-1.0000000000000004</v>
      </c>
      <c r="AH60" s="186">
        <f>+J60-'[2]Data FY23-24 Final'!J60</f>
        <v>1</v>
      </c>
      <c r="AI60" s="186">
        <f>+K60-'[2]Data FY23-24 Final'!K60</f>
        <v>0</v>
      </c>
      <c r="AJ60" s="186">
        <f>+L60-'[2]Data FY23-24 Final'!L60</f>
        <v>0</v>
      </c>
      <c r="AK60" s="186">
        <f>+M60-'[2]Data FY23-24 Final'!M60</f>
        <v>0</v>
      </c>
      <c r="AL60" s="186">
        <f>+N60-'[2]Data FY23-24 Final'!N60</f>
        <v>0</v>
      </c>
      <c r="AM60" s="186">
        <f>+O60-'[2]Data FY23-24 Final'!O60</f>
        <v>0</v>
      </c>
      <c r="AN60" s="186">
        <f>+P60-'[2]Data FY23-24 Final'!P60</f>
        <v>0.24834570867001526</v>
      </c>
      <c r="AO60" s="186">
        <f>+Q60-'[2]Data FY23-24 Final'!Q60</f>
        <v>25.667345708670016</v>
      </c>
      <c r="AP60" s="186">
        <f>+R60-'[2]Data FY23-24 Final'!R60</f>
        <v>0</v>
      </c>
      <c r="AQ60" s="186">
        <f>+S60-'[2]Data FY23-24 Final'!S60</f>
        <v>0</v>
      </c>
      <c r="AR60" s="186">
        <f>+T60-'[2]Data FY23-24 Final'!T60</f>
        <v>0</v>
      </c>
      <c r="AS60" s="186">
        <f>+U60-'[2]Data FY23-24 Final'!U60</f>
        <v>0</v>
      </c>
      <c r="AT60" s="186">
        <f>+V60-'[2]Data FY23-24 Final'!V60</f>
        <v>0</v>
      </c>
      <c r="AU60" s="186">
        <f>+W60-'[2]Data FY23-24 Final'!W60</f>
        <v>1.2483457086700156</v>
      </c>
      <c r="AV60" s="186">
        <f>+X60-'[2]Data FY23-24 Final'!X60</f>
        <v>0</v>
      </c>
      <c r="AW60" s="161">
        <f>+Y60-'[2]Data FY23-24 Final'!Y60</f>
        <v>291078.97999999952</v>
      </c>
      <c r="AX60" s="161">
        <f>+Z60-'[2]Data FY23-24 Final'!Z60</f>
        <v>197723.86486000009</v>
      </c>
    </row>
    <row r="61" spans="1:50" s="154" customFormat="1" ht="13" x14ac:dyDescent="0.3">
      <c r="A61" s="187" t="s">
        <v>201</v>
      </c>
      <c r="B61" s="187" t="s">
        <v>181</v>
      </c>
      <c r="C61" s="194" t="s">
        <v>202</v>
      </c>
      <c r="D61" s="349">
        <v>52971800</v>
      </c>
      <c r="E61" s="349">
        <v>0</v>
      </c>
      <c r="F61" s="349">
        <v>52971800</v>
      </c>
      <c r="G61" s="350">
        <v>106054.29</v>
      </c>
      <c r="H61" s="348">
        <v>26.128</v>
      </c>
      <c r="I61" s="348">
        <v>13.695</v>
      </c>
      <c r="J61" s="210">
        <f t="shared" si="6"/>
        <v>12.433</v>
      </c>
      <c r="K61" s="185">
        <v>0</v>
      </c>
      <c r="L61" s="197">
        <v>0</v>
      </c>
      <c r="M61" s="185">
        <v>0</v>
      </c>
      <c r="N61" s="210">
        <v>0</v>
      </c>
      <c r="O61" s="316">
        <v>0</v>
      </c>
      <c r="P61" s="211">
        <f t="shared" si="2"/>
        <v>2.0020896023922163</v>
      </c>
      <c r="Q61" s="317">
        <f t="shared" si="3"/>
        <v>14.435089602392216</v>
      </c>
      <c r="R61" s="196"/>
      <c r="S61" s="196"/>
      <c r="T61" s="196"/>
      <c r="U61" s="196"/>
      <c r="V61" s="196"/>
      <c r="W61" s="196">
        <f t="shared" si="4"/>
        <v>14.435089602392216</v>
      </c>
      <c r="X61" s="185">
        <v>77.001000000000005</v>
      </c>
      <c r="Y61" s="220">
        <v>4247900.24</v>
      </c>
      <c r="Z61" s="220">
        <v>3581274.2685700003</v>
      </c>
      <c r="AB61" s="161">
        <f>+D61-'[2]Data FY23-24 Final'!D61</f>
        <v>-645630</v>
      </c>
      <c r="AC61" s="161">
        <f>+E61-'[2]Data FY23-24 Final'!E61</f>
        <v>0</v>
      </c>
      <c r="AD61" s="161">
        <f>+F61-'[2]Data FY23-24 Final'!F61</f>
        <v>-645630</v>
      </c>
      <c r="AE61" s="161">
        <f>+G61-'[2]Data FY23-24 Final'!G61</f>
        <v>-32867.919999999998</v>
      </c>
      <c r="AF61" s="186">
        <f>+H61-'[2]Data FY23-24 Final'!H61</f>
        <v>0</v>
      </c>
      <c r="AG61" s="186">
        <f>+I61-'[2]Data FY23-24 Final'!I61</f>
        <v>-1</v>
      </c>
      <c r="AH61" s="186">
        <f>+J61-'[2]Data FY23-24 Final'!J61</f>
        <v>1</v>
      </c>
      <c r="AI61" s="186">
        <f>+K61-'[2]Data FY23-24 Final'!K61</f>
        <v>0</v>
      </c>
      <c r="AJ61" s="186">
        <f>+L61-'[2]Data FY23-24 Final'!L61</f>
        <v>0</v>
      </c>
      <c r="AK61" s="186">
        <f>+M61-'[2]Data FY23-24 Final'!M61</f>
        <v>0</v>
      </c>
      <c r="AL61" s="186">
        <f>+N61-'[2]Data FY23-24 Final'!N61</f>
        <v>0</v>
      </c>
      <c r="AM61" s="186">
        <f>+O61-'[2]Data FY23-24 Final'!O61</f>
        <v>0</v>
      </c>
      <c r="AN61" s="186">
        <f>+P61-'[2]Data FY23-24 Final'!P61</f>
        <v>-0.58891039760778385</v>
      </c>
      <c r="AO61" s="186">
        <f>+Q61-'[2]Data FY23-24 Final'!Q61</f>
        <v>0.41108960239221659</v>
      </c>
      <c r="AP61" s="186">
        <f>+R61-'[2]Data FY23-24 Final'!R61</f>
        <v>-17.5</v>
      </c>
      <c r="AQ61" s="186">
        <f>+S61-'[2]Data FY23-24 Final'!S61</f>
        <v>0</v>
      </c>
      <c r="AR61" s="186">
        <f>+T61-'[2]Data FY23-24 Final'!T61</f>
        <v>0</v>
      </c>
      <c r="AS61" s="186">
        <f>+U61-'[2]Data FY23-24 Final'!U61</f>
        <v>0</v>
      </c>
      <c r="AT61" s="186">
        <f>+V61-'[2]Data FY23-24 Final'!V61</f>
        <v>0</v>
      </c>
      <c r="AU61" s="186">
        <f>+W61-'[2]Data FY23-24 Final'!W61</f>
        <v>-17.088910397607783</v>
      </c>
      <c r="AV61" s="186">
        <f>+X61-'[2]Data FY23-24 Final'!X61</f>
        <v>0</v>
      </c>
      <c r="AW61" s="161">
        <f>+Y61-'[2]Data FY23-24 Final'!Y61</f>
        <v>85602.870000000112</v>
      </c>
      <c r="AX61" s="161">
        <f>+Z61-'[2]Data FY23-24 Final'!Z61</f>
        <v>84646.075760000385</v>
      </c>
    </row>
    <row r="62" spans="1:50" s="154" customFormat="1" ht="13" x14ac:dyDescent="0.3">
      <c r="A62" s="187" t="s">
        <v>203</v>
      </c>
      <c r="B62" s="187" t="s">
        <v>181</v>
      </c>
      <c r="C62" s="194" t="s">
        <v>204</v>
      </c>
      <c r="D62" s="349">
        <v>932027940</v>
      </c>
      <c r="E62" s="349">
        <v>0</v>
      </c>
      <c r="F62" s="349">
        <v>932027940</v>
      </c>
      <c r="G62" s="350">
        <v>64041.77</v>
      </c>
      <c r="H62" s="348">
        <v>27</v>
      </c>
      <c r="I62" s="348">
        <v>0</v>
      </c>
      <c r="J62" s="210">
        <f t="shared" si="6"/>
        <v>27</v>
      </c>
      <c r="K62" s="185">
        <v>0</v>
      </c>
      <c r="L62" s="197">
        <v>0</v>
      </c>
      <c r="M62" s="185">
        <v>0</v>
      </c>
      <c r="N62" s="210">
        <v>0</v>
      </c>
      <c r="O62" s="316">
        <v>4.149</v>
      </c>
      <c r="P62" s="211">
        <f t="shared" si="2"/>
        <v>6.8712285599506817E-2</v>
      </c>
      <c r="Q62" s="317">
        <f t="shared" si="3"/>
        <v>31.217712285599507</v>
      </c>
      <c r="R62" s="196"/>
      <c r="S62" s="196"/>
      <c r="T62" s="196"/>
      <c r="U62" s="196"/>
      <c r="V62" s="196"/>
      <c r="W62" s="196">
        <f t="shared" si="4"/>
        <v>31.217712285599507</v>
      </c>
      <c r="X62" s="185">
        <v>65.173000000000002</v>
      </c>
      <c r="Y62" s="220">
        <v>64488814.490000002</v>
      </c>
      <c r="Z62" s="220">
        <v>37608702.445120007</v>
      </c>
      <c r="AB62" s="161">
        <f>+D62-'[2]Data FY23-24 Final'!D62</f>
        <v>15974200</v>
      </c>
      <c r="AC62" s="161">
        <f>+E62-'[2]Data FY23-24 Final'!E62</f>
        <v>0</v>
      </c>
      <c r="AD62" s="161">
        <f>+F62-'[2]Data FY23-24 Final'!F62</f>
        <v>15974200</v>
      </c>
      <c r="AE62" s="161">
        <f>+G62-'[2]Data FY23-24 Final'!G62</f>
        <v>40857.97</v>
      </c>
      <c r="AF62" s="186">
        <f>+H62-'[2]Data FY23-24 Final'!H62</f>
        <v>0</v>
      </c>
      <c r="AG62" s="186">
        <f>+I62-'[2]Data FY23-24 Final'!I62</f>
        <v>-0.83599999999999997</v>
      </c>
      <c r="AH62" s="186">
        <f>+J62-'[2]Data FY23-24 Final'!J62</f>
        <v>0.83599999999999852</v>
      </c>
      <c r="AI62" s="186">
        <f>+K62-'[2]Data FY23-24 Final'!K62</f>
        <v>0</v>
      </c>
      <c r="AJ62" s="186">
        <f>+L62-'[2]Data FY23-24 Final'!L62</f>
        <v>0</v>
      </c>
      <c r="AK62" s="186">
        <f>+M62-'[2]Data FY23-24 Final'!M62</f>
        <v>0</v>
      </c>
      <c r="AL62" s="186">
        <f>+N62-'[2]Data FY23-24 Final'!N62</f>
        <v>0</v>
      </c>
      <c r="AM62" s="186">
        <f>+O62-'[2]Data FY23-24 Final'!O62</f>
        <v>-0.21699999999999964</v>
      </c>
      <c r="AN62" s="186">
        <f>+P62-'[2]Data FY23-24 Final'!P62</f>
        <v>4.6712285599506818E-2</v>
      </c>
      <c r="AO62" s="186">
        <f>+Q62-'[2]Data FY23-24 Final'!Q62</f>
        <v>0.66571228559950768</v>
      </c>
      <c r="AP62" s="186">
        <f>+R62-'[2]Data FY23-24 Final'!R62</f>
        <v>-6.9480000000000004</v>
      </c>
      <c r="AQ62" s="186">
        <f>+S62-'[2]Data FY23-24 Final'!S62</f>
        <v>0</v>
      </c>
      <c r="AR62" s="186">
        <f>+T62-'[2]Data FY23-24 Final'!T62</f>
        <v>0</v>
      </c>
      <c r="AS62" s="186">
        <f>+U62-'[2]Data FY23-24 Final'!U62</f>
        <v>0</v>
      </c>
      <c r="AT62" s="186">
        <f>+V62-'[2]Data FY23-24 Final'!V62</f>
        <v>0</v>
      </c>
      <c r="AU62" s="186">
        <f>+W62-'[2]Data FY23-24 Final'!W62</f>
        <v>-6.2822877144004927</v>
      </c>
      <c r="AV62" s="186">
        <f>+X62-'[2]Data FY23-24 Final'!X62</f>
        <v>0</v>
      </c>
      <c r="AW62" s="161">
        <f>+Y62-'[2]Data FY23-24 Final'!Y62</f>
        <v>736282.3200000003</v>
      </c>
      <c r="AX62" s="161">
        <f>+Z62-'[2]Data FY23-24 Final'!Z62</f>
        <v>-353043.61151999235</v>
      </c>
    </row>
    <row r="63" spans="1:50" s="154" customFormat="1" ht="13" x14ac:dyDescent="0.3">
      <c r="A63" s="187" t="s">
        <v>205</v>
      </c>
      <c r="B63" s="187" t="s">
        <v>181</v>
      </c>
      <c r="C63" s="194" t="s">
        <v>206</v>
      </c>
      <c r="D63" s="349">
        <v>1709687150</v>
      </c>
      <c r="E63" s="349">
        <v>0</v>
      </c>
      <c r="F63" s="349">
        <v>1709687150</v>
      </c>
      <c r="G63" s="349">
        <v>110451.73</v>
      </c>
      <c r="H63" s="348">
        <v>27</v>
      </c>
      <c r="I63" s="348">
        <v>0</v>
      </c>
      <c r="J63" s="210">
        <f t="shared" si="6"/>
        <v>27</v>
      </c>
      <c r="K63" s="185">
        <v>0</v>
      </c>
      <c r="L63" s="197">
        <v>0</v>
      </c>
      <c r="M63" s="185">
        <v>0</v>
      </c>
      <c r="N63" s="210">
        <v>0</v>
      </c>
      <c r="O63" s="316">
        <v>4.1970000000000001</v>
      </c>
      <c r="P63" s="211">
        <f t="shared" si="2"/>
        <v>6.4603474384187773E-2</v>
      </c>
      <c r="Q63" s="317">
        <f t="shared" si="3"/>
        <v>31.261603474384188</v>
      </c>
      <c r="R63" s="196"/>
      <c r="S63" s="196"/>
      <c r="T63" s="196"/>
      <c r="U63" s="196"/>
      <c r="V63" s="196"/>
      <c r="W63" s="196">
        <f t="shared" si="4"/>
        <v>31.261603474384188</v>
      </c>
      <c r="X63" s="185">
        <v>166.73099999999999</v>
      </c>
      <c r="Y63" s="220">
        <v>301342749.76999998</v>
      </c>
      <c r="Z63" s="220">
        <v>249719508.07449996</v>
      </c>
      <c r="AB63" s="161">
        <f>+D63-'[2]Data FY23-24 Final'!D63</f>
        <v>44427210</v>
      </c>
      <c r="AC63" s="161">
        <f>+E63-'[2]Data FY23-24 Final'!E63</f>
        <v>0</v>
      </c>
      <c r="AD63" s="161">
        <f>+F63-'[2]Data FY23-24 Final'!F63</f>
        <v>44427210</v>
      </c>
      <c r="AE63" s="161">
        <f>+G63-'[2]Data FY23-24 Final'!G63</f>
        <v>-17942.270000000004</v>
      </c>
      <c r="AF63" s="186">
        <f>+H63-'[2]Data FY23-24 Final'!H63</f>
        <v>0</v>
      </c>
      <c r="AG63" s="186">
        <f>+I63-'[2]Data FY23-24 Final'!I63</f>
        <v>0</v>
      </c>
      <c r="AH63" s="186">
        <f>+J63-'[2]Data FY23-24 Final'!J63</f>
        <v>0</v>
      </c>
      <c r="AI63" s="186">
        <f>+K63-'[2]Data FY23-24 Final'!K63</f>
        <v>0</v>
      </c>
      <c r="AJ63" s="186">
        <f>+L63-'[2]Data FY23-24 Final'!L63</f>
        <v>0</v>
      </c>
      <c r="AK63" s="186">
        <f>+M63-'[2]Data FY23-24 Final'!M63</f>
        <v>0</v>
      </c>
      <c r="AL63" s="186">
        <f>+N63-'[2]Data FY23-24 Final'!N63</f>
        <v>0</v>
      </c>
      <c r="AM63" s="186">
        <f>+O63-'[2]Data FY23-24 Final'!O63</f>
        <v>-14.303000000000001</v>
      </c>
      <c r="AN63" s="186">
        <f>+P63-'[2]Data FY23-24 Final'!P63</f>
        <v>-1.2396525615812226E-2</v>
      </c>
      <c r="AO63" s="186">
        <f>+Q63-'[2]Data FY23-24 Final'!Q63</f>
        <v>-14.31539652561581</v>
      </c>
      <c r="AP63" s="186">
        <f>+R63-'[2]Data FY23-24 Final'!R63</f>
        <v>0</v>
      </c>
      <c r="AQ63" s="186">
        <f>+S63-'[2]Data FY23-24 Final'!S63</f>
        <v>0</v>
      </c>
      <c r="AR63" s="186">
        <f>+T63-'[2]Data FY23-24 Final'!T63</f>
        <v>0</v>
      </c>
      <c r="AS63" s="186">
        <f>+U63-'[2]Data FY23-24 Final'!U63</f>
        <v>0</v>
      </c>
      <c r="AT63" s="186">
        <f>+V63-'[2]Data FY23-24 Final'!V63</f>
        <v>0</v>
      </c>
      <c r="AU63" s="186">
        <f>+W63-'[2]Data FY23-24 Final'!W63</f>
        <v>-14.31539652561581</v>
      </c>
      <c r="AV63" s="186">
        <f>+X63-'[2]Data FY23-24 Final'!X63</f>
        <v>0</v>
      </c>
      <c r="AW63" s="161">
        <f>+Y63-'[2]Data FY23-24 Final'!Y63</f>
        <v>-8401239.8799999952</v>
      </c>
      <c r="AX63" s="161">
        <f>+Z63-'[2]Data FY23-24 Final'!Z63</f>
        <v>-14090483.715500027</v>
      </c>
    </row>
    <row r="64" spans="1:50" s="154" customFormat="1" ht="13" x14ac:dyDescent="0.3">
      <c r="A64" s="187" t="s">
        <v>207</v>
      </c>
      <c r="B64" s="187" t="s">
        <v>181</v>
      </c>
      <c r="C64" s="194" t="s">
        <v>208</v>
      </c>
      <c r="D64" s="349">
        <v>8252774</v>
      </c>
      <c r="E64" s="349">
        <v>0</v>
      </c>
      <c r="F64" s="349">
        <v>8252774</v>
      </c>
      <c r="G64" s="350">
        <v>24.43</v>
      </c>
      <c r="H64" s="348">
        <v>27</v>
      </c>
      <c r="I64" s="348">
        <v>0</v>
      </c>
      <c r="J64" s="210">
        <f t="shared" si="6"/>
        <v>27</v>
      </c>
      <c r="K64" s="185">
        <v>0</v>
      </c>
      <c r="L64" s="197">
        <v>0</v>
      </c>
      <c r="M64" s="185">
        <v>0</v>
      </c>
      <c r="N64" s="210">
        <v>0</v>
      </c>
      <c r="O64" s="316">
        <v>0</v>
      </c>
      <c r="P64" s="211">
        <f t="shared" si="2"/>
        <v>2.9602167707488418E-3</v>
      </c>
      <c r="Q64" s="317">
        <f t="shared" si="3"/>
        <v>27.002960216770749</v>
      </c>
      <c r="R64" s="196"/>
      <c r="S64" s="196"/>
      <c r="T64" s="196"/>
      <c r="U64" s="196"/>
      <c r="V64" s="196"/>
      <c r="W64" s="196">
        <f t="shared" si="4"/>
        <v>27.002960216770749</v>
      </c>
      <c r="X64" s="185">
        <v>315.25900000000001</v>
      </c>
      <c r="Y64" s="220">
        <v>2559061.8199999998</v>
      </c>
      <c r="Z64" s="220">
        <v>2323741.4087999999</v>
      </c>
      <c r="AB64" s="161">
        <f>+D64-'[2]Data FY23-24 Final'!D64</f>
        <v>574766</v>
      </c>
      <c r="AC64" s="161">
        <f>+E64-'[2]Data FY23-24 Final'!E64</f>
        <v>0</v>
      </c>
      <c r="AD64" s="161">
        <f>+F64-'[2]Data FY23-24 Final'!F64</f>
        <v>574766</v>
      </c>
      <c r="AE64" s="161">
        <f>+G64-'[2]Data FY23-24 Final'!G64</f>
        <v>-1128.5</v>
      </c>
      <c r="AF64" s="186">
        <f>+H64-'[2]Data FY23-24 Final'!H64</f>
        <v>0</v>
      </c>
      <c r="AG64" s="186">
        <f>+I64-'[2]Data FY23-24 Final'!I64</f>
        <v>0</v>
      </c>
      <c r="AH64" s="186">
        <f>+J64-'[2]Data FY23-24 Final'!J64</f>
        <v>0</v>
      </c>
      <c r="AI64" s="186">
        <f>+K64-'[2]Data FY23-24 Final'!K64</f>
        <v>0</v>
      </c>
      <c r="AJ64" s="186">
        <f>+L64-'[2]Data FY23-24 Final'!L64</f>
        <v>0</v>
      </c>
      <c r="AK64" s="186">
        <f>+M64-'[2]Data FY23-24 Final'!M64</f>
        <v>0</v>
      </c>
      <c r="AL64" s="186">
        <f>+N64-'[2]Data FY23-24 Final'!N64</f>
        <v>0</v>
      </c>
      <c r="AM64" s="186">
        <f>+O64-'[2]Data FY23-24 Final'!O64</f>
        <v>0</v>
      </c>
      <c r="AN64" s="186">
        <f>+P64-'[2]Data FY23-24 Final'!P64</f>
        <v>2.9602167707488418E-3</v>
      </c>
      <c r="AO64" s="186">
        <f>+Q64-'[2]Data FY23-24 Final'!Q64</f>
        <v>2.9602167707487581E-3</v>
      </c>
      <c r="AP64" s="186">
        <f>+R64-'[2]Data FY23-24 Final'!R64</f>
        <v>0</v>
      </c>
      <c r="AQ64" s="186">
        <f>+S64-'[2]Data FY23-24 Final'!S64</f>
        <v>0</v>
      </c>
      <c r="AR64" s="186">
        <f>+T64-'[2]Data FY23-24 Final'!T64</f>
        <v>0</v>
      </c>
      <c r="AS64" s="186">
        <f>+U64-'[2]Data FY23-24 Final'!U64</f>
        <v>0</v>
      </c>
      <c r="AT64" s="186">
        <f>+V64-'[2]Data FY23-24 Final'!V64</f>
        <v>0</v>
      </c>
      <c r="AU64" s="186">
        <f>+W64-'[2]Data FY23-24 Final'!W64</f>
        <v>2.9602167707487581E-3</v>
      </c>
      <c r="AV64" s="186">
        <f>+X64-'[2]Data FY23-24 Final'!X64</f>
        <v>0</v>
      </c>
      <c r="AW64" s="161">
        <f>+Y64-'[2]Data FY23-24 Final'!Y64</f>
        <v>146106.65999999968</v>
      </c>
      <c r="AX64" s="161">
        <f>+Z64-'[2]Data FY23-24 Final'!Z64</f>
        <v>135243.30479999958</v>
      </c>
    </row>
    <row r="65" spans="1:50" s="154" customFormat="1" x14ac:dyDescent="0.25">
      <c r="A65" s="187" t="s">
        <v>209</v>
      </c>
      <c r="B65" s="187" t="s">
        <v>181</v>
      </c>
      <c r="C65" s="194" t="s">
        <v>210</v>
      </c>
      <c r="D65" s="220">
        <v>42827020</v>
      </c>
      <c r="E65" s="220">
        <v>0</v>
      </c>
      <c r="F65" s="220">
        <f t="shared" si="5"/>
        <v>42827020</v>
      </c>
      <c r="G65" s="221">
        <v>1117.31</v>
      </c>
      <c r="H65" s="348">
        <v>27</v>
      </c>
      <c r="I65" s="348">
        <v>2.1659999999999968</v>
      </c>
      <c r="J65" s="210">
        <f t="shared" si="6"/>
        <v>24.834000000000003</v>
      </c>
      <c r="K65" s="185">
        <v>0</v>
      </c>
      <c r="L65" s="197">
        <v>0</v>
      </c>
      <c r="M65" s="185">
        <v>0.94700000000000006</v>
      </c>
      <c r="N65" s="210">
        <v>0</v>
      </c>
      <c r="O65" s="316">
        <v>0</v>
      </c>
      <c r="P65" s="211">
        <f t="shared" si="2"/>
        <v>2.6088903687438443E-2</v>
      </c>
      <c r="Q65" s="317">
        <f t="shared" si="3"/>
        <v>25.80708890368744</v>
      </c>
      <c r="R65" s="196"/>
      <c r="S65" s="196"/>
      <c r="T65" s="196"/>
      <c r="U65" s="196"/>
      <c r="V65" s="196"/>
      <c r="W65" s="196">
        <f t="shared" si="4"/>
        <v>25.80708890368744</v>
      </c>
      <c r="X65" s="185">
        <v>104.01299999999999</v>
      </c>
      <c r="Y65" s="220">
        <v>4528040</v>
      </c>
      <c r="Z65" s="220">
        <v>3433834.1910199998</v>
      </c>
      <c r="AB65" s="161">
        <f>+D65-'[2]Data FY23-24 Final'!D65</f>
        <v>1763992</v>
      </c>
      <c r="AC65" s="161">
        <f>+E65-'[2]Data FY23-24 Final'!E65</f>
        <v>0</v>
      </c>
      <c r="AD65" s="161">
        <f>+F65-'[2]Data FY23-24 Final'!F65</f>
        <v>1763992</v>
      </c>
      <c r="AE65" s="161">
        <f>+G65-'[2]Data FY23-24 Final'!G65</f>
        <v>738.22</v>
      </c>
      <c r="AF65" s="186">
        <f>+H65-'[2]Data FY23-24 Final'!H65</f>
        <v>0</v>
      </c>
      <c r="AG65" s="186">
        <f>+I65-'[2]Data FY23-24 Final'!I65</f>
        <v>-1.0000000000000031</v>
      </c>
      <c r="AH65" s="186">
        <f>+J65-'[2]Data FY23-24 Final'!J65</f>
        <v>1.0000000000000036</v>
      </c>
      <c r="AI65" s="186">
        <f>+K65-'[2]Data FY23-24 Final'!K65</f>
        <v>0</v>
      </c>
      <c r="AJ65" s="186">
        <f>+L65-'[2]Data FY23-24 Final'!L65</f>
        <v>0</v>
      </c>
      <c r="AK65" s="186">
        <f>+M65-'[2]Data FY23-24 Final'!M65</f>
        <v>-4.0999999999999925E-2</v>
      </c>
      <c r="AL65" s="186">
        <f>+N65-'[2]Data FY23-24 Final'!N65</f>
        <v>0</v>
      </c>
      <c r="AM65" s="186">
        <f>+O65-'[2]Data FY23-24 Final'!O65</f>
        <v>0</v>
      </c>
      <c r="AN65" s="186">
        <f>+P65-'[2]Data FY23-24 Final'!P65</f>
        <v>1.7088903687438442E-2</v>
      </c>
      <c r="AO65" s="186">
        <f>+Q65-'[2]Data FY23-24 Final'!Q65</f>
        <v>0.97608890368744028</v>
      </c>
      <c r="AP65" s="186">
        <f>+R65-'[2]Data FY23-24 Final'!R65</f>
        <v>-3.8450000000000002</v>
      </c>
      <c r="AQ65" s="186">
        <f>+S65-'[2]Data FY23-24 Final'!S65</f>
        <v>0</v>
      </c>
      <c r="AR65" s="186">
        <f>+T65-'[2]Data FY23-24 Final'!T65</f>
        <v>0</v>
      </c>
      <c r="AS65" s="186">
        <f>+U65-'[2]Data FY23-24 Final'!U65</f>
        <v>0</v>
      </c>
      <c r="AT65" s="186">
        <f>+V65-'[2]Data FY23-24 Final'!V65</f>
        <v>0</v>
      </c>
      <c r="AU65" s="186">
        <f>+W65-'[2]Data FY23-24 Final'!W65</f>
        <v>-2.8689110963125586</v>
      </c>
      <c r="AV65" s="186">
        <f>+X65-'[2]Data FY23-24 Final'!X65</f>
        <v>0</v>
      </c>
      <c r="AW65" s="161">
        <f>+Y65-'[2]Data FY23-24 Final'!Y65</f>
        <v>-460644.3200000003</v>
      </c>
      <c r="AX65" s="161">
        <f>+Z65-'[2]Data FY23-24 Final'!Z65</f>
        <v>-489438.96962800017</v>
      </c>
    </row>
    <row r="66" spans="1:50" s="154" customFormat="1" ht="13" x14ac:dyDescent="0.3">
      <c r="A66" s="187" t="s">
        <v>211</v>
      </c>
      <c r="B66" s="187" t="s">
        <v>212</v>
      </c>
      <c r="C66" s="194" t="s">
        <v>213</v>
      </c>
      <c r="D66" s="349">
        <v>343745219</v>
      </c>
      <c r="E66" s="349">
        <v>6264261</v>
      </c>
      <c r="F66" s="349">
        <v>337480958</v>
      </c>
      <c r="G66" s="350">
        <v>41180.19</v>
      </c>
      <c r="H66" s="348">
        <v>27</v>
      </c>
      <c r="I66" s="348">
        <v>0</v>
      </c>
      <c r="J66" s="210">
        <f t="shared" si="6"/>
        <v>27</v>
      </c>
      <c r="K66" s="185">
        <v>0</v>
      </c>
      <c r="L66" s="197">
        <v>0</v>
      </c>
      <c r="M66" s="185">
        <v>0</v>
      </c>
      <c r="N66" s="210">
        <v>0</v>
      </c>
      <c r="O66" s="316">
        <v>0</v>
      </c>
      <c r="P66" s="211">
        <f t="shared" si="2"/>
        <v>0.12202226236420723</v>
      </c>
      <c r="Q66" s="317">
        <f t="shared" si="3"/>
        <v>27.122022262364208</v>
      </c>
      <c r="R66" s="196"/>
      <c r="S66" s="196"/>
      <c r="T66" s="196"/>
      <c r="U66" s="196"/>
      <c r="V66" s="196"/>
      <c r="W66" s="196">
        <f t="shared" si="4"/>
        <v>27.122022262364208</v>
      </c>
      <c r="X66" s="185">
        <v>91.67</v>
      </c>
      <c r="Y66" s="220">
        <v>34113711.859999999</v>
      </c>
      <c r="Z66" s="220">
        <v>23211503.266899999</v>
      </c>
      <c r="AB66" s="161">
        <f>+D66-'[2]Data FY23-24 Final'!D66</f>
        <v>12326483</v>
      </c>
      <c r="AC66" s="161">
        <f>+E66-'[2]Data FY23-24 Final'!E66</f>
        <v>4439408</v>
      </c>
      <c r="AD66" s="161">
        <f>+F66-'[2]Data FY23-24 Final'!F66</f>
        <v>7887075</v>
      </c>
      <c r="AE66" s="161">
        <f>+G66-'[2]Data FY23-24 Final'!G66</f>
        <v>9131.8500000000022</v>
      </c>
      <c r="AF66" s="186">
        <f>+H66-'[2]Data FY23-24 Final'!H66</f>
        <v>0</v>
      </c>
      <c r="AG66" s="186">
        <f>+I66-'[2]Data FY23-24 Final'!I66</f>
        <v>0</v>
      </c>
      <c r="AH66" s="186">
        <f>+J66-'[2]Data FY23-24 Final'!J66</f>
        <v>0</v>
      </c>
      <c r="AI66" s="186">
        <f>+K66-'[2]Data FY23-24 Final'!K66</f>
        <v>0</v>
      </c>
      <c r="AJ66" s="186">
        <f>+L66-'[2]Data FY23-24 Final'!L66</f>
        <v>0</v>
      </c>
      <c r="AK66" s="186">
        <f>+M66-'[2]Data FY23-24 Final'!M66</f>
        <v>0</v>
      </c>
      <c r="AL66" s="186">
        <f>+N66-'[2]Data FY23-24 Final'!N66</f>
        <v>0</v>
      </c>
      <c r="AM66" s="186">
        <f>+O66-'[2]Data FY23-24 Final'!O66</f>
        <v>-4.202</v>
      </c>
      <c r="AN66" s="186">
        <f>+P66-'[2]Data FY23-24 Final'!P66</f>
        <v>2.5022262364207223E-2</v>
      </c>
      <c r="AO66" s="186">
        <f>+Q66-'[2]Data FY23-24 Final'!Q66</f>
        <v>-4.1769777376357915</v>
      </c>
      <c r="AP66" s="186">
        <f>+R66-'[2]Data FY23-24 Final'!R66</f>
        <v>-11.680999999999999</v>
      </c>
      <c r="AQ66" s="186">
        <f>+S66-'[2]Data FY23-24 Final'!S66</f>
        <v>0</v>
      </c>
      <c r="AR66" s="186">
        <f>+T66-'[2]Data FY23-24 Final'!T66</f>
        <v>0</v>
      </c>
      <c r="AS66" s="186">
        <f>+U66-'[2]Data FY23-24 Final'!U66</f>
        <v>0</v>
      </c>
      <c r="AT66" s="186">
        <f>+V66-'[2]Data FY23-24 Final'!V66</f>
        <v>0</v>
      </c>
      <c r="AU66" s="186">
        <f>+W66-'[2]Data FY23-24 Final'!W66</f>
        <v>-15.857977737635789</v>
      </c>
      <c r="AV66" s="186">
        <f>+X66-'[2]Data FY23-24 Final'!X66</f>
        <v>0</v>
      </c>
      <c r="AW66" s="161">
        <f>+Y66-'[2]Data FY23-24 Final'!Y66</f>
        <v>726010.93999999762</v>
      </c>
      <c r="AX66" s="161">
        <f>+Z66-'[2]Data FY23-24 Final'!Z66</f>
        <v>-202736.60210000351</v>
      </c>
    </row>
    <row r="67" spans="1:50" s="154" customFormat="1" ht="13" x14ac:dyDescent="0.3">
      <c r="A67" s="187" t="s">
        <v>214</v>
      </c>
      <c r="B67" s="187" t="s">
        <v>212</v>
      </c>
      <c r="C67" s="194" t="s">
        <v>215</v>
      </c>
      <c r="D67" s="349">
        <v>191372087</v>
      </c>
      <c r="E67" s="349">
        <v>0</v>
      </c>
      <c r="F67" s="349">
        <v>191372087</v>
      </c>
      <c r="G67" s="350">
        <v>14129.69</v>
      </c>
      <c r="H67" s="348">
        <v>27</v>
      </c>
      <c r="I67" s="348">
        <v>7.796999999999997</v>
      </c>
      <c r="J67" s="210">
        <f t="shared" si="6"/>
        <v>19.203000000000003</v>
      </c>
      <c r="K67" s="185">
        <v>0</v>
      </c>
      <c r="L67" s="197">
        <v>0</v>
      </c>
      <c r="M67" s="185">
        <v>0</v>
      </c>
      <c r="N67" s="210">
        <v>0</v>
      </c>
      <c r="O67" s="316">
        <v>1.768</v>
      </c>
      <c r="P67" s="211">
        <f t="shared" ref="P67:P130" si="7">+G67/F67*1000</f>
        <v>7.3833599358719443E-2</v>
      </c>
      <c r="Q67" s="317">
        <f t="shared" si="3"/>
        <v>21.044833599358721</v>
      </c>
      <c r="R67" s="196"/>
      <c r="S67" s="196"/>
      <c r="T67" s="196"/>
      <c r="U67" s="196"/>
      <c r="V67" s="196"/>
      <c r="W67" s="196">
        <f t="shared" si="4"/>
        <v>21.044833599358721</v>
      </c>
      <c r="X67" s="185">
        <v>68.624000000000009</v>
      </c>
      <c r="Y67" s="220">
        <v>13966299.560000001</v>
      </c>
      <c r="Z67" s="220">
        <v>9979448.9897330012</v>
      </c>
      <c r="AB67" s="161">
        <f>+D67-'[2]Data FY23-24 Final'!D67</f>
        <v>6103077</v>
      </c>
      <c r="AC67" s="161">
        <f>+E67-'[2]Data FY23-24 Final'!E67</f>
        <v>0</v>
      </c>
      <c r="AD67" s="161">
        <f>+F67-'[2]Data FY23-24 Final'!F67</f>
        <v>6103077</v>
      </c>
      <c r="AE67" s="161">
        <f>+G67-'[2]Data FY23-24 Final'!G67</f>
        <v>8351.4000000000015</v>
      </c>
      <c r="AF67" s="186">
        <f>+H67-'[2]Data FY23-24 Final'!H67</f>
        <v>0</v>
      </c>
      <c r="AG67" s="186">
        <f>+I67-'[2]Data FY23-24 Final'!I67</f>
        <v>-1.0000000000000036</v>
      </c>
      <c r="AH67" s="186">
        <f>+J67-'[2]Data FY23-24 Final'!J67</f>
        <v>1.0000000000000036</v>
      </c>
      <c r="AI67" s="186">
        <f>+K67-'[2]Data FY23-24 Final'!K67</f>
        <v>0</v>
      </c>
      <c r="AJ67" s="186">
        <f>+L67-'[2]Data FY23-24 Final'!L67</f>
        <v>0</v>
      </c>
      <c r="AK67" s="186">
        <f>+M67-'[2]Data FY23-24 Final'!M67</f>
        <v>0</v>
      </c>
      <c r="AL67" s="186">
        <f>+N67-'[2]Data FY23-24 Final'!N67</f>
        <v>0</v>
      </c>
      <c r="AM67" s="186">
        <f>+O67-'[2]Data FY23-24 Final'!O67</f>
        <v>-0.121</v>
      </c>
      <c r="AN67" s="186">
        <f>+P67-'[2]Data FY23-24 Final'!P67</f>
        <v>4.2833599358719443E-2</v>
      </c>
      <c r="AO67" s="186">
        <f>+Q67-'[2]Data FY23-24 Final'!Q67</f>
        <v>0.92183359935872033</v>
      </c>
      <c r="AP67" s="186">
        <f>+R67-'[2]Data FY23-24 Final'!R67</f>
        <v>-10.189</v>
      </c>
      <c r="AQ67" s="186">
        <f>+S67-'[2]Data FY23-24 Final'!S67</f>
        <v>0</v>
      </c>
      <c r="AR67" s="186">
        <f>+T67-'[2]Data FY23-24 Final'!T67</f>
        <v>0</v>
      </c>
      <c r="AS67" s="186">
        <f>+U67-'[2]Data FY23-24 Final'!U67</f>
        <v>0</v>
      </c>
      <c r="AT67" s="186">
        <f>+V67-'[2]Data FY23-24 Final'!V67</f>
        <v>0</v>
      </c>
      <c r="AU67" s="186">
        <f>+W67-'[2]Data FY23-24 Final'!W67</f>
        <v>-9.2671664006412797</v>
      </c>
      <c r="AV67" s="186">
        <f>+X67-'[2]Data FY23-24 Final'!X67</f>
        <v>0</v>
      </c>
      <c r="AW67" s="161">
        <f>+Y67-'[2]Data FY23-24 Final'!Y67</f>
        <v>276886.49000000022</v>
      </c>
      <c r="AX67" s="161">
        <f>+Z67-'[2]Data FY23-24 Final'!Z67</f>
        <v>17918.97876300104</v>
      </c>
    </row>
    <row r="68" spans="1:50" s="154" customFormat="1" ht="13" x14ac:dyDescent="0.3">
      <c r="A68" s="187" t="s">
        <v>216</v>
      </c>
      <c r="B68" s="187" t="s">
        <v>212</v>
      </c>
      <c r="C68" s="194" t="s">
        <v>217</v>
      </c>
      <c r="D68" s="349">
        <v>92216969</v>
      </c>
      <c r="E68" s="349">
        <v>0</v>
      </c>
      <c r="F68" s="349">
        <v>92216969</v>
      </c>
      <c r="G68" s="350">
        <v>4162.1499999999996</v>
      </c>
      <c r="H68" s="348">
        <v>27</v>
      </c>
      <c r="I68" s="348">
        <v>1.2979999999999983</v>
      </c>
      <c r="J68" s="210">
        <f t="shared" si="6"/>
        <v>25.702000000000002</v>
      </c>
      <c r="K68" s="185">
        <v>0</v>
      </c>
      <c r="L68" s="197">
        <v>0</v>
      </c>
      <c r="M68" s="185">
        <v>0</v>
      </c>
      <c r="N68" s="210">
        <v>0</v>
      </c>
      <c r="O68" s="316">
        <v>0</v>
      </c>
      <c r="P68" s="211">
        <f t="shared" si="7"/>
        <v>4.5134317958335841E-2</v>
      </c>
      <c r="Q68" s="317">
        <f t="shared" ref="Q68:Q131" si="8">SUM(J68:P68)</f>
        <v>25.747134317958338</v>
      </c>
      <c r="R68" s="196"/>
      <c r="S68" s="196"/>
      <c r="T68" s="196"/>
      <c r="U68" s="196"/>
      <c r="V68" s="196"/>
      <c r="W68" s="196">
        <f t="shared" ref="W68:W131" si="9">Q68+(SUM(R68:V68))</f>
        <v>25.747134317958338</v>
      </c>
      <c r="X68" s="185">
        <v>33.404000000000003</v>
      </c>
      <c r="Y68" s="220">
        <v>3306415.31</v>
      </c>
      <c r="Z68" s="220">
        <v>833796.95303000009</v>
      </c>
      <c r="AB68" s="161">
        <f>+D68-'[2]Data FY23-24 Final'!D68</f>
        <v>2646649</v>
      </c>
      <c r="AC68" s="161">
        <f>+E68-'[2]Data FY23-24 Final'!E68</f>
        <v>0</v>
      </c>
      <c r="AD68" s="161">
        <f>+F68-'[2]Data FY23-24 Final'!F68</f>
        <v>2646649</v>
      </c>
      <c r="AE68" s="161">
        <f>+G68-'[2]Data FY23-24 Final'!G68</f>
        <v>4019.0499999999997</v>
      </c>
      <c r="AF68" s="186">
        <f>+H68-'[2]Data FY23-24 Final'!H68</f>
        <v>0</v>
      </c>
      <c r="AG68" s="186">
        <f>+I68-'[2]Data FY23-24 Final'!I68</f>
        <v>-1.0000000000000018</v>
      </c>
      <c r="AH68" s="186">
        <f>+J68-'[2]Data FY23-24 Final'!J68</f>
        <v>1</v>
      </c>
      <c r="AI68" s="186">
        <f>+K68-'[2]Data FY23-24 Final'!K68</f>
        <v>0</v>
      </c>
      <c r="AJ68" s="186">
        <f>+L68-'[2]Data FY23-24 Final'!L68</f>
        <v>0</v>
      </c>
      <c r="AK68" s="186">
        <f>+M68-'[2]Data FY23-24 Final'!M68</f>
        <v>0</v>
      </c>
      <c r="AL68" s="186">
        <f>+N68-'[2]Data FY23-24 Final'!N68</f>
        <v>0</v>
      </c>
      <c r="AM68" s="186">
        <f>+O68-'[2]Data FY23-24 Final'!O68</f>
        <v>-2</v>
      </c>
      <c r="AN68" s="186">
        <f>+P68-'[2]Data FY23-24 Final'!P68</f>
        <v>4.4134317958335841E-2</v>
      </c>
      <c r="AO68" s="186">
        <f>+Q68-'[2]Data FY23-24 Final'!Q68</f>
        <v>-0.95586568204166156</v>
      </c>
      <c r="AP68" s="186">
        <f>+R68-'[2]Data FY23-24 Final'!R68</f>
        <v>0</v>
      </c>
      <c r="AQ68" s="186">
        <f>+S68-'[2]Data FY23-24 Final'!S68</f>
        <v>0</v>
      </c>
      <c r="AR68" s="186">
        <f>+T68-'[2]Data FY23-24 Final'!T68</f>
        <v>0</v>
      </c>
      <c r="AS68" s="186">
        <f>+U68-'[2]Data FY23-24 Final'!U68</f>
        <v>0</v>
      </c>
      <c r="AT68" s="186">
        <f>+V68-'[2]Data FY23-24 Final'!V68</f>
        <v>0</v>
      </c>
      <c r="AU68" s="186">
        <f>+W68-'[2]Data FY23-24 Final'!W68</f>
        <v>-0.95586568204166156</v>
      </c>
      <c r="AV68" s="186">
        <f>+X68-'[2]Data FY23-24 Final'!X68</f>
        <v>0</v>
      </c>
      <c r="AW68" s="161">
        <f>+Y68-'[2]Data FY23-24 Final'!Y68</f>
        <v>62230.240000000224</v>
      </c>
      <c r="AX68" s="161">
        <f>+Z68-'[2]Data FY23-24 Final'!Z68</f>
        <v>34053.927670000237</v>
      </c>
    </row>
    <row r="69" spans="1:50" s="154" customFormat="1" x14ac:dyDescent="0.25">
      <c r="A69" s="187" t="s">
        <v>218</v>
      </c>
      <c r="B69" s="187" t="s">
        <v>219</v>
      </c>
      <c r="C69" s="194" t="s">
        <v>220</v>
      </c>
      <c r="D69" s="220">
        <v>1913102841</v>
      </c>
      <c r="E69" s="220">
        <v>1390680</v>
      </c>
      <c r="F69" s="220">
        <f t="shared" ref="F69:F132" si="10">+D69-E69</f>
        <v>1911712161</v>
      </c>
      <c r="G69" s="221">
        <v>228482.13999999998</v>
      </c>
      <c r="H69" s="348">
        <v>27</v>
      </c>
      <c r="I69" s="348">
        <v>1.2409999999999997</v>
      </c>
      <c r="J69" s="210">
        <f t="shared" si="6"/>
        <v>25.759</v>
      </c>
      <c r="K69" s="185">
        <v>0</v>
      </c>
      <c r="L69" s="197">
        <v>0</v>
      </c>
      <c r="M69" s="185">
        <v>0</v>
      </c>
      <c r="N69" s="210">
        <v>0</v>
      </c>
      <c r="O69" s="316">
        <v>4.6030000000000006</v>
      </c>
      <c r="P69" s="211">
        <f t="shared" si="7"/>
        <v>0.11951701969635584</v>
      </c>
      <c r="Q69" s="317">
        <f t="shared" si="8"/>
        <v>30.481517019696359</v>
      </c>
      <c r="R69" s="196"/>
      <c r="S69" s="196"/>
      <c r="T69" s="196"/>
      <c r="U69" s="196"/>
      <c r="V69" s="196"/>
      <c r="W69" s="196">
        <f t="shared" si="9"/>
        <v>30.481517019696359</v>
      </c>
      <c r="X69" s="185">
        <v>33.987000000000002</v>
      </c>
      <c r="Y69" s="220">
        <v>66617655.549999997</v>
      </c>
      <c r="Z69" s="220">
        <v>17641585.830700997</v>
      </c>
      <c r="AB69" s="161">
        <f>+D69-'[2]Data FY23-24 Final'!D69</f>
        <v>83335041</v>
      </c>
      <c r="AC69" s="161">
        <f>+E69-'[2]Data FY23-24 Final'!E69</f>
        <v>-70790</v>
      </c>
      <c r="AD69" s="161">
        <f>+F69-'[2]Data FY23-24 Final'!F69</f>
        <v>83405831</v>
      </c>
      <c r="AE69" s="161">
        <f>+G69-'[2]Data FY23-24 Final'!G69</f>
        <v>127797.13999999998</v>
      </c>
      <c r="AF69" s="186">
        <f>+H69-'[2]Data FY23-24 Final'!H69</f>
        <v>0</v>
      </c>
      <c r="AG69" s="186">
        <f>+I69-'[2]Data FY23-24 Final'!I69</f>
        <v>-1.0000000000000004</v>
      </c>
      <c r="AH69" s="186">
        <f>+J69-'[2]Data FY23-24 Final'!J69</f>
        <v>1</v>
      </c>
      <c r="AI69" s="186">
        <f>+K69-'[2]Data FY23-24 Final'!K69</f>
        <v>0</v>
      </c>
      <c r="AJ69" s="186">
        <f>+L69-'[2]Data FY23-24 Final'!L69</f>
        <v>0</v>
      </c>
      <c r="AK69" s="186">
        <f>+M69-'[2]Data FY23-24 Final'!M69</f>
        <v>0</v>
      </c>
      <c r="AL69" s="186">
        <f>+N69-'[2]Data FY23-24 Final'!N69</f>
        <v>0</v>
      </c>
      <c r="AM69" s="186">
        <f>+O69-'[2]Data FY23-24 Final'!O69</f>
        <v>-4.72</v>
      </c>
      <c r="AN69" s="186">
        <f>+P69-'[2]Data FY23-24 Final'!P69</f>
        <v>6.4517019696355843E-2</v>
      </c>
      <c r="AO69" s="186">
        <f>+Q69-'[2]Data FY23-24 Final'!Q69</f>
        <v>-3.6554829803036419</v>
      </c>
      <c r="AP69" s="186">
        <f>+R69-'[2]Data FY23-24 Final'!R69</f>
        <v>-7.66</v>
      </c>
      <c r="AQ69" s="186">
        <f>+S69-'[2]Data FY23-24 Final'!S69</f>
        <v>0</v>
      </c>
      <c r="AR69" s="186">
        <f>+T69-'[2]Data FY23-24 Final'!T69</f>
        <v>0</v>
      </c>
      <c r="AS69" s="186">
        <f>+U69-'[2]Data FY23-24 Final'!U69</f>
        <v>0</v>
      </c>
      <c r="AT69" s="186">
        <f>+V69-'[2]Data FY23-24 Final'!V69</f>
        <v>0</v>
      </c>
      <c r="AU69" s="186">
        <f>+W69-'[2]Data FY23-24 Final'!W69</f>
        <v>-11.315482980303639</v>
      </c>
      <c r="AV69" s="186">
        <f>+X69-'[2]Data FY23-24 Final'!X69</f>
        <v>0</v>
      </c>
      <c r="AW69" s="161">
        <f>+Y69-'[2]Data FY23-24 Final'!Y69</f>
        <v>3058167.3640000001</v>
      </c>
      <c r="AX69" s="161">
        <f>+Z69-'[2]Data FY23-24 Final'!Z69</f>
        <v>983327.99917099997</v>
      </c>
    </row>
    <row r="70" spans="1:50" s="154" customFormat="1" ht="13" x14ac:dyDescent="0.3">
      <c r="A70" s="187" t="s">
        <v>221</v>
      </c>
      <c r="B70" s="187" t="s">
        <v>219</v>
      </c>
      <c r="C70" s="194" t="s">
        <v>222</v>
      </c>
      <c r="D70" s="349">
        <v>958963920</v>
      </c>
      <c r="E70" s="349">
        <v>2341390</v>
      </c>
      <c r="F70" s="349">
        <v>956622530</v>
      </c>
      <c r="G70" s="350">
        <v>26186.82</v>
      </c>
      <c r="H70" s="348">
        <v>16.282</v>
      </c>
      <c r="I70" s="348">
        <v>7.5820000000000007</v>
      </c>
      <c r="J70" s="210">
        <f t="shared" si="6"/>
        <v>8.6999999999999993</v>
      </c>
      <c r="K70" s="185">
        <v>0</v>
      </c>
      <c r="L70" s="197">
        <v>0</v>
      </c>
      <c r="M70" s="185">
        <v>0</v>
      </c>
      <c r="N70" s="210">
        <v>0</v>
      </c>
      <c r="O70" s="316">
        <v>3.1389999999999998</v>
      </c>
      <c r="P70" s="211">
        <f t="shared" si="7"/>
        <v>2.7374245513536045E-2</v>
      </c>
      <c r="Q70" s="317">
        <f t="shared" si="8"/>
        <v>11.866374245513535</v>
      </c>
      <c r="R70" s="196"/>
      <c r="S70" s="196"/>
      <c r="T70" s="196"/>
      <c r="U70" s="196"/>
      <c r="V70" s="196"/>
      <c r="W70" s="196">
        <f t="shared" si="9"/>
        <v>11.866374245513535</v>
      </c>
      <c r="X70" s="185">
        <v>34.317</v>
      </c>
      <c r="Y70" s="220">
        <v>47296320.710000001</v>
      </c>
      <c r="Z70" s="220">
        <v>36460431.829099998</v>
      </c>
      <c r="AB70" s="161">
        <f>+D70-'[2]Data FY23-24 Final'!D70</f>
        <v>-385887350</v>
      </c>
      <c r="AC70" s="161">
        <f>+E70-'[2]Data FY23-24 Final'!E70</f>
        <v>43020</v>
      </c>
      <c r="AD70" s="161">
        <f>+F70-'[2]Data FY23-24 Final'!F70</f>
        <v>-385930370</v>
      </c>
      <c r="AE70" s="161">
        <f>+G70-'[2]Data FY23-24 Final'!G70</f>
        <v>-1068.6599999999999</v>
      </c>
      <c r="AF70" s="186">
        <f>+H70-'[2]Data FY23-24 Final'!H70</f>
        <v>0</v>
      </c>
      <c r="AG70" s="186">
        <f>+I70-'[2]Data FY23-24 Final'!I70</f>
        <v>-1</v>
      </c>
      <c r="AH70" s="186">
        <f>+J70-'[2]Data FY23-24 Final'!J70</f>
        <v>0.99999999999999911</v>
      </c>
      <c r="AI70" s="186">
        <f>+K70-'[2]Data FY23-24 Final'!K70</f>
        <v>0</v>
      </c>
      <c r="AJ70" s="186">
        <f>+L70-'[2]Data FY23-24 Final'!L70</f>
        <v>0</v>
      </c>
      <c r="AK70" s="186">
        <f>+M70-'[2]Data FY23-24 Final'!M70</f>
        <v>0</v>
      </c>
      <c r="AL70" s="186">
        <f>+N70-'[2]Data FY23-24 Final'!N70</f>
        <v>0</v>
      </c>
      <c r="AM70" s="186">
        <f>+O70-'[2]Data FY23-24 Final'!O70</f>
        <v>-3.714</v>
      </c>
      <c r="AN70" s="186">
        <f>+P70-'[2]Data FY23-24 Final'!P70</f>
        <v>7.374245513536045E-3</v>
      </c>
      <c r="AO70" s="186">
        <f>+Q70-'[2]Data FY23-24 Final'!Q70</f>
        <v>-2.7066257544864651</v>
      </c>
      <c r="AP70" s="186">
        <f>+R70-'[2]Data FY23-24 Final'!R70</f>
        <v>-6.2830000000000004</v>
      </c>
      <c r="AQ70" s="186">
        <f>+S70-'[2]Data FY23-24 Final'!S70</f>
        <v>0</v>
      </c>
      <c r="AR70" s="186">
        <f>+T70-'[2]Data FY23-24 Final'!T70</f>
        <v>0</v>
      </c>
      <c r="AS70" s="186">
        <f>+U70-'[2]Data FY23-24 Final'!U70</f>
        <v>0</v>
      </c>
      <c r="AT70" s="186">
        <f>+V70-'[2]Data FY23-24 Final'!V70</f>
        <v>0</v>
      </c>
      <c r="AU70" s="186">
        <f>+W70-'[2]Data FY23-24 Final'!W70</f>
        <v>-8.9896257544864664</v>
      </c>
      <c r="AV70" s="186">
        <f>+X70-'[2]Data FY23-24 Final'!X70</f>
        <v>0</v>
      </c>
      <c r="AW70" s="161">
        <f>+Y70-'[2]Data FY23-24 Final'!Y70</f>
        <v>1154227.7100000009</v>
      </c>
      <c r="AX70" s="161">
        <f>+Z70-'[2]Data FY23-24 Final'!Z70</f>
        <v>1088663.919099994</v>
      </c>
    </row>
    <row r="71" spans="1:50" s="154" customFormat="1" ht="13" x14ac:dyDescent="0.3">
      <c r="A71" s="187" t="s">
        <v>223</v>
      </c>
      <c r="B71" s="187" t="s">
        <v>219</v>
      </c>
      <c r="C71" s="194" t="s">
        <v>224</v>
      </c>
      <c r="D71" s="349">
        <v>739632560</v>
      </c>
      <c r="E71" s="349">
        <v>0</v>
      </c>
      <c r="F71" s="349">
        <v>739632560</v>
      </c>
      <c r="G71" s="350">
        <v>217.66</v>
      </c>
      <c r="H71" s="348">
        <v>4.3949999999999996</v>
      </c>
      <c r="I71" s="348">
        <v>0</v>
      </c>
      <c r="J71" s="210">
        <f t="shared" si="6"/>
        <v>4.3949999999999996</v>
      </c>
      <c r="K71" s="185">
        <v>0</v>
      </c>
      <c r="L71" s="197">
        <v>0</v>
      </c>
      <c r="M71" s="185">
        <v>0</v>
      </c>
      <c r="N71" s="210">
        <v>0</v>
      </c>
      <c r="O71" s="316">
        <v>1.7309999999999999</v>
      </c>
      <c r="P71" s="211">
        <f t="shared" si="7"/>
        <v>2.9428125770990932E-4</v>
      </c>
      <c r="Q71" s="317">
        <f t="shared" si="8"/>
        <v>6.1262942812577093</v>
      </c>
      <c r="R71" s="196"/>
      <c r="S71" s="196"/>
      <c r="T71" s="196"/>
      <c r="U71" s="196"/>
      <c r="V71" s="196"/>
      <c r="W71" s="196">
        <f t="shared" si="9"/>
        <v>6.1262942812577093</v>
      </c>
      <c r="X71" s="185">
        <v>10.247999999999999</v>
      </c>
      <c r="Y71" s="220">
        <v>13120565.890000001</v>
      </c>
      <c r="Z71" s="220">
        <v>7325147.4520500014</v>
      </c>
      <c r="AB71" s="161">
        <f>+D71-'[2]Data FY23-24 Final'!D71</f>
        <v>-506587930</v>
      </c>
      <c r="AC71" s="161">
        <f>+E71-'[2]Data FY23-24 Final'!E71</f>
        <v>0</v>
      </c>
      <c r="AD71" s="161">
        <f>+F71-'[2]Data FY23-24 Final'!F71</f>
        <v>-506587930</v>
      </c>
      <c r="AE71" s="161">
        <f>+G71-'[2]Data FY23-24 Final'!G71</f>
        <v>-273.34000000000003</v>
      </c>
      <c r="AF71" s="186">
        <f>+H71-'[2]Data FY23-24 Final'!H71</f>
        <v>0</v>
      </c>
      <c r="AG71" s="186">
        <f>+I71-'[2]Data FY23-24 Final'!I71</f>
        <v>0</v>
      </c>
      <c r="AH71" s="186">
        <f>+J71-'[2]Data FY23-24 Final'!J71</f>
        <v>0</v>
      </c>
      <c r="AI71" s="186">
        <f>+K71-'[2]Data FY23-24 Final'!K71</f>
        <v>0</v>
      </c>
      <c r="AJ71" s="186">
        <f>+L71-'[2]Data FY23-24 Final'!L71</f>
        <v>0</v>
      </c>
      <c r="AK71" s="186">
        <f>+M71-'[2]Data FY23-24 Final'!M71</f>
        <v>0</v>
      </c>
      <c r="AL71" s="186">
        <f>+N71-'[2]Data FY23-24 Final'!N71</f>
        <v>0</v>
      </c>
      <c r="AM71" s="186">
        <f>+O71-'[2]Data FY23-24 Final'!O71</f>
        <v>-8.0000000000002292E-3</v>
      </c>
      <c r="AN71" s="186">
        <f>+P71-'[2]Data FY23-24 Final'!P71</f>
        <v>2.9428125770990932E-4</v>
      </c>
      <c r="AO71" s="186">
        <f>+Q71-'[2]Data FY23-24 Final'!Q71</f>
        <v>-7.70571874229109E-3</v>
      </c>
      <c r="AP71" s="186">
        <f>+R71-'[2]Data FY23-24 Final'!R71</f>
        <v>-4.34</v>
      </c>
      <c r="AQ71" s="186">
        <f>+S71-'[2]Data FY23-24 Final'!S71</f>
        <v>0</v>
      </c>
      <c r="AR71" s="186">
        <f>+T71-'[2]Data FY23-24 Final'!T71</f>
        <v>0</v>
      </c>
      <c r="AS71" s="186">
        <f>+U71-'[2]Data FY23-24 Final'!U71</f>
        <v>0</v>
      </c>
      <c r="AT71" s="186">
        <f>+V71-'[2]Data FY23-24 Final'!V71</f>
        <v>0</v>
      </c>
      <c r="AU71" s="186">
        <f>+W71-'[2]Data FY23-24 Final'!W71</f>
        <v>-4.3477057187422909</v>
      </c>
      <c r="AV71" s="186">
        <f>+X71-'[2]Data FY23-24 Final'!X71</f>
        <v>0</v>
      </c>
      <c r="AW71" s="161">
        <f>+Y71-'[2]Data FY23-24 Final'!Y71</f>
        <v>-119965.26999999955</v>
      </c>
      <c r="AX71" s="161">
        <f>+Z71-'[2]Data FY23-24 Final'!Z71</f>
        <v>-194164.95439999923</v>
      </c>
    </row>
    <row r="72" spans="1:50" s="154" customFormat="1" ht="13" x14ac:dyDescent="0.3">
      <c r="A72" s="187" t="s">
        <v>225</v>
      </c>
      <c r="B72" s="187" t="s">
        <v>226</v>
      </c>
      <c r="C72" s="194" t="s">
        <v>226</v>
      </c>
      <c r="D72" s="349">
        <v>464735280</v>
      </c>
      <c r="E72" s="349">
        <v>0</v>
      </c>
      <c r="F72" s="349">
        <v>464735280</v>
      </c>
      <c r="G72" s="350">
        <v>202.244</v>
      </c>
      <c r="H72" s="348">
        <v>6.6509999999999998</v>
      </c>
      <c r="I72" s="348">
        <v>0</v>
      </c>
      <c r="J72" s="210">
        <f t="shared" si="6"/>
        <v>6.6509999999999998</v>
      </c>
      <c r="K72" s="185">
        <v>0</v>
      </c>
      <c r="L72" s="197">
        <v>0</v>
      </c>
      <c r="M72" s="185">
        <v>0</v>
      </c>
      <c r="N72" s="210">
        <v>0</v>
      </c>
      <c r="O72" s="316">
        <v>2.0990000000000002</v>
      </c>
      <c r="P72" s="211">
        <f t="shared" si="7"/>
        <v>4.3518107770944351E-4</v>
      </c>
      <c r="Q72" s="317">
        <f t="shared" si="8"/>
        <v>8.7504351810777088</v>
      </c>
      <c r="R72" s="196"/>
      <c r="S72" s="196"/>
      <c r="T72" s="196"/>
      <c r="U72" s="196"/>
      <c r="V72" s="196"/>
      <c r="W72" s="196">
        <f t="shared" si="9"/>
        <v>8.7504351810777088</v>
      </c>
      <c r="X72" s="185">
        <v>11.227</v>
      </c>
      <c r="Y72" s="220">
        <v>5378349.8799999999</v>
      </c>
      <c r="Z72" s="220">
        <v>2137504.9468669998</v>
      </c>
      <c r="AB72" s="161">
        <f>+D72-'[2]Data FY23-24 Final'!D72</f>
        <v>2600370</v>
      </c>
      <c r="AC72" s="161">
        <f>+E72-'[2]Data FY23-24 Final'!E72</f>
        <v>0</v>
      </c>
      <c r="AD72" s="161">
        <f>+F72-'[2]Data FY23-24 Final'!F72</f>
        <v>2600370</v>
      </c>
      <c r="AE72" s="161">
        <f>+G72-'[2]Data FY23-24 Final'!G72</f>
        <v>128.45400000000001</v>
      </c>
      <c r="AF72" s="186">
        <f>+H72-'[2]Data FY23-24 Final'!H72</f>
        <v>0</v>
      </c>
      <c r="AG72" s="186">
        <f>+I72-'[2]Data FY23-24 Final'!I72</f>
        <v>0</v>
      </c>
      <c r="AH72" s="186">
        <f>+J72-'[2]Data FY23-24 Final'!J72</f>
        <v>0</v>
      </c>
      <c r="AI72" s="186">
        <f>+K72-'[2]Data FY23-24 Final'!K72</f>
        <v>0</v>
      </c>
      <c r="AJ72" s="186">
        <f>+L72-'[2]Data FY23-24 Final'!L72</f>
        <v>0</v>
      </c>
      <c r="AK72" s="186">
        <f>+M72-'[2]Data FY23-24 Final'!M72</f>
        <v>0</v>
      </c>
      <c r="AL72" s="186">
        <f>+N72-'[2]Data FY23-24 Final'!N72</f>
        <v>0</v>
      </c>
      <c r="AM72" s="186">
        <f>+O72-'[2]Data FY23-24 Final'!O72</f>
        <v>-0.36499999999999977</v>
      </c>
      <c r="AN72" s="186">
        <f>+P72-'[2]Data FY23-24 Final'!P72</f>
        <v>4.3518107770944351E-4</v>
      </c>
      <c r="AO72" s="186">
        <f>+Q72-'[2]Data FY23-24 Final'!Q72</f>
        <v>-0.36456481892229142</v>
      </c>
      <c r="AP72" s="186">
        <f>+R72-'[2]Data FY23-24 Final'!R72</f>
        <v>0</v>
      </c>
      <c r="AQ72" s="186">
        <f>+S72-'[2]Data FY23-24 Final'!S72</f>
        <v>-0.36199999999999999</v>
      </c>
      <c r="AR72" s="186">
        <f>+T72-'[2]Data FY23-24 Final'!T72</f>
        <v>0</v>
      </c>
      <c r="AS72" s="186">
        <f>+U72-'[2]Data FY23-24 Final'!U72</f>
        <v>0</v>
      </c>
      <c r="AT72" s="186">
        <f>+V72-'[2]Data FY23-24 Final'!V72</f>
        <v>0</v>
      </c>
      <c r="AU72" s="186">
        <f>+W72-'[2]Data FY23-24 Final'!W72</f>
        <v>-0.72656481892229152</v>
      </c>
      <c r="AV72" s="186">
        <f>+X72-'[2]Data FY23-24 Final'!X72</f>
        <v>0</v>
      </c>
      <c r="AW72" s="161">
        <f>+Y72-'[2]Data FY23-24 Final'!Y72</f>
        <v>38488.349999999627</v>
      </c>
      <c r="AX72" s="161">
        <f>+Z72-'[2]Data FY23-24 Final'!Z72</f>
        <v>12119.12327699922</v>
      </c>
    </row>
    <row r="73" spans="1:50" s="154" customFormat="1" x14ac:dyDescent="0.25">
      <c r="A73" s="187" t="s">
        <v>227</v>
      </c>
      <c r="B73" s="187" t="s">
        <v>228</v>
      </c>
      <c r="C73" s="194" t="s">
        <v>229</v>
      </c>
      <c r="D73" s="220">
        <v>162507510</v>
      </c>
      <c r="E73" s="220">
        <v>0</v>
      </c>
      <c r="F73" s="220">
        <f t="shared" si="10"/>
        <v>162507510</v>
      </c>
      <c r="G73" s="221">
        <v>23692.930000000004</v>
      </c>
      <c r="H73" s="348">
        <v>13.811</v>
      </c>
      <c r="I73" s="348">
        <v>0</v>
      </c>
      <c r="J73" s="210">
        <f t="shared" si="6"/>
        <v>13.811</v>
      </c>
      <c r="K73" s="185">
        <v>0</v>
      </c>
      <c r="L73" s="197">
        <v>0</v>
      </c>
      <c r="M73" s="185">
        <v>0</v>
      </c>
      <c r="N73" s="210">
        <v>0</v>
      </c>
      <c r="O73" s="316">
        <v>6.7690000000000001</v>
      </c>
      <c r="P73" s="211">
        <f t="shared" si="7"/>
        <v>0.14579590813987614</v>
      </c>
      <c r="Q73" s="317">
        <f t="shared" si="8"/>
        <v>20.725795908139876</v>
      </c>
      <c r="R73" s="196"/>
      <c r="S73" s="196"/>
      <c r="T73" s="196"/>
      <c r="U73" s="196"/>
      <c r="V73" s="196"/>
      <c r="W73" s="196">
        <f t="shared" si="9"/>
        <v>20.725795908139876</v>
      </c>
      <c r="X73" s="185">
        <v>32.755000000000003</v>
      </c>
      <c r="Y73" s="220">
        <v>5435949.5199999996</v>
      </c>
      <c r="Z73" s="220">
        <v>3078623.1665899996</v>
      </c>
      <c r="AB73" s="161">
        <f>+D73-'[2]Data FY23-24 Final'!D73</f>
        <v>6263150</v>
      </c>
      <c r="AC73" s="161">
        <f>+E73-'[2]Data FY23-24 Final'!E73</f>
        <v>0</v>
      </c>
      <c r="AD73" s="161">
        <f>+F73-'[2]Data FY23-24 Final'!F73</f>
        <v>6263150</v>
      </c>
      <c r="AE73" s="161">
        <f>+G73-'[2]Data FY23-24 Final'!G73</f>
        <v>5449.9300000000039</v>
      </c>
      <c r="AF73" s="186">
        <f>+H73-'[2]Data FY23-24 Final'!H73</f>
        <v>0</v>
      </c>
      <c r="AG73" s="186">
        <f>+I73-'[2]Data FY23-24 Final'!I73</f>
        <v>0</v>
      </c>
      <c r="AH73" s="186">
        <f>+J73-'[2]Data FY23-24 Final'!J73</f>
        <v>0</v>
      </c>
      <c r="AI73" s="186">
        <f>+K73-'[2]Data FY23-24 Final'!K73</f>
        <v>0</v>
      </c>
      <c r="AJ73" s="186">
        <f>+L73-'[2]Data FY23-24 Final'!L73</f>
        <v>0</v>
      </c>
      <c r="AK73" s="186">
        <f>+M73-'[2]Data FY23-24 Final'!M73</f>
        <v>0</v>
      </c>
      <c r="AL73" s="186">
        <f>+N73-'[2]Data FY23-24 Final'!N73</f>
        <v>0</v>
      </c>
      <c r="AM73" s="186">
        <f>+O73-'[2]Data FY23-24 Final'!O73</f>
        <v>-0.28099999999999969</v>
      </c>
      <c r="AN73" s="186">
        <f>+P73-'[2]Data FY23-24 Final'!P73</f>
        <v>2.5795908139876145E-2</v>
      </c>
      <c r="AO73" s="186">
        <f>+Q73-'[2]Data FY23-24 Final'!Q73</f>
        <v>-0.25520409186012571</v>
      </c>
      <c r="AP73" s="186">
        <f>+R73-'[2]Data FY23-24 Final'!R73</f>
        <v>-5.85</v>
      </c>
      <c r="AQ73" s="186">
        <f>+S73-'[2]Data FY23-24 Final'!S73</f>
        <v>0</v>
      </c>
      <c r="AR73" s="186">
        <f>+T73-'[2]Data FY23-24 Final'!T73</f>
        <v>0</v>
      </c>
      <c r="AS73" s="186">
        <f>+U73-'[2]Data FY23-24 Final'!U73</f>
        <v>0</v>
      </c>
      <c r="AT73" s="186">
        <f>+V73-'[2]Data FY23-24 Final'!V73</f>
        <v>0</v>
      </c>
      <c r="AU73" s="186">
        <f>+W73-'[2]Data FY23-24 Final'!W73</f>
        <v>-6.1052040918601236</v>
      </c>
      <c r="AV73" s="186">
        <f>+X73-'[2]Data FY23-24 Final'!X73</f>
        <v>0</v>
      </c>
      <c r="AW73" s="161">
        <f>+Y73-'[2]Data FY23-24 Final'!Y73</f>
        <v>-1581.9700000006706</v>
      </c>
      <c r="AX73" s="161">
        <f>+Z73-'[2]Data FY23-24 Final'!Z73</f>
        <v>-97932.507450000849</v>
      </c>
    </row>
    <row r="74" spans="1:50" s="154" customFormat="1" ht="13" x14ac:dyDescent="0.3">
      <c r="A74" s="187" t="s">
        <v>230</v>
      </c>
      <c r="B74" s="187" t="s">
        <v>228</v>
      </c>
      <c r="C74" s="194" t="s">
        <v>231</v>
      </c>
      <c r="D74" s="349">
        <v>1304096200</v>
      </c>
      <c r="E74" s="349">
        <v>0</v>
      </c>
      <c r="F74" s="349">
        <v>1304096200</v>
      </c>
      <c r="G74" s="350">
        <v>17614.43</v>
      </c>
      <c r="H74" s="348">
        <v>12.776999999999999</v>
      </c>
      <c r="I74" s="348">
        <v>0</v>
      </c>
      <c r="J74" s="352">
        <f>+H74-I74-K74-L74</f>
        <v>9.6159999999999979</v>
      </c>
      <c r="K74" s="353">
        <v>0.42299999999999999</v>
      </c>
      <c r="L74" s="354">
        <v>2.7380000000000009</v>
      </c>
      <c r="M74" s="185">
        <v>0.59100000000000008</v>
      </c>
      <c r="N74" s="210">
        <v>0</v>
      </c>
      <c r="O74" s="316">
        <v>1.0029999999999999</v>
      </c>
      <c r="P74" s="211">
        <f t="shared" si="7"/>
        <v>1.3507002014115217E-2</v>
      </c>
      <c r="Q74" s="317">
        <f t="shared" si="8"/>
        <v>14.384507002014114</v>
      </c>
      <c r="R74" s="196"/>
      <c r="S74" s="196"/>
      <c r="T74" s="196"/>
      <c r="U74" s="196"/>
      <c r="V74" s="196"/>
      <c r="W74" s="196">
        <f t="shared" si="9"/>
        <v>14.384507002014114</v>
      </c>
      <c r="X74" s="185">
        <v>9.6159999999999997</v>
      </c>
      <c r="Y74" s="220">
        <v>13433689.51</v>
      </c>
      <c r="Z74" s="220">
        <v>20.19456171290949</v>
      </c>
      <c r="AB74" s="161">
        <f>+D74-'[2]Data FY23-24 Final'!D74</f>
        <v>30433920</v>
      </c>
      <c r="AC74" s="161">
        <f>+E74-'[2]Data FY23-24 Final'!E74</f>
        <v>0</v>
      </c>
      <c r="AD74" s="161">
        <f>+F74-'[2]Data FY23-24 Final'!F74</f>
        <v>30433920</v>
      </c>
      <c r="AE74" s="161">
        <f>+G74-'[2]Data FY23-24 Final'!G74</f>
        <v>2130.6200000000008</v>
      </c>
      <c r="AF74" s="186">
        <f>+H74-'[2]Data FY23-24 Final'!H74</f>
        <v>0</v>
      </c>
      <c r="AG74" s="186">
        <f>+I74-'[2]Data FY23-24 Final'!I74</f>
        <v>0</v>
      </c>
      <c r="AH74" s="186">
        <f>+J74-'[2]Data FY23-24 Final'!J74</f>
        <v>-3.1610000000000014</v>
      </c>
      <c r="AI74" s="186">
        <f>+K74-'[2]Data FY23-24 Final'!K74</f>
        <v>0.42299999999999999</v>
      </c>
      <c r="AJ74" s="186">
        <f>+L74-'[2]Data FY23-24 Final'!L74</f>
        <v>2.7380000000000009</v>
      </c>
      <c r="AK74" s="186">
        <f>+M74-'[2]Data FY23-24 Final'!M74</f>
        <v>-2.4999999999999911E-2</v>
      </c>
      <c r="AL74" s="186">
        <f>+N74-'[2]Data FY23-24 Final'!N74</f>
        <v>0</v>
      </c>
      <c r="AM74" s="186">
        <f>+O74-'[2]Data FY23-24 Final'!O74</f>
        <v>-0.81</v>
      </c>
      <c r="AN74" s="186">
        <f>+P74-'[2]Data FY23-24 Final'!P74</f>
        <v>1.5070020141152163E-3</v>
      </c>
      <c r="AO74" s="186">
        <f>+Q74-'[2]Data FY23-24 Final'!Q74</f>
        <v>-0.83349299798588561</v>
      </c>
      <c r="AP74" s="186">
        <f>+R74-'[2]Data FY23-24 Final'!R74</f>
        <v>-5.0720000000000001</v>
      </c>
      <c r="AQ74" s="186">
        <f>+S74-'[2]Data FY23-24 Final'!S74</f>
        <v>-0.23599999999999999</v>
      </c>
      <c r="AR74" s="186">
        <f>+T74-'[2]Data FY23-24 Final'!T74</f>
        <v>0</v>
      </c>
      <c r="AS74" s="186">
        <f>+U74-'[2]Data FY23-24 Final'!U74</f>
        <v>0</v>
      </c>
      <c r="AT74" s="186">
        <f>+V74-'[2]Data FY23-24 Final'!V74</f>
        <v>0</v>
      </c>
      <c r="AU74" s="186">
        <f>+W74-'[2]Data FY23-24 Final'!W74</f>
        <v>-6.1414929979858854</v>
      </c>
      <c r="AV74" s="186">
        <f>+X74-'[2]Data FY23-24 Final'!X74</f>
        <v>0</v>
      </c>
      <c r="AW74" s="161">
        <f>+Y74-'[2]Data FY23-24 Final'!Y74</f>
        <v>-142378.59999999963</v>
      </c>
      <c r="AX74" s="161">
        <f>+Z74-'[2]Data FY23-24 Final'!Z74</f>
        <v>20.19456171290949</v>
      </c>
    </row>
    <row r="75" spans="1:50" s="154" customFormat="1" ht="13" x14ac:dyDescent="0.3">
      <c r="A75" s="187" t="s">
        <v>232</v>
      </c>
      <c r="B75" s="187" t="s">
        <v>233</v>
      </c>
      <c r="C75" s="194" t="s">
        <v>233</v>
      </c>
      <c r="D75" s="349">
        <v>1090966411</v>
      </c>
      <c r="E75" s="349">
        <v>19645670</v>
      </c>
      <c r="F75" s="349">
        <v>1071320741</v>
      </c>
      <c r="G75" s="350">
        <v>21273.9</v>
      </c>
      <c r="H75" s="348">
        <v>15.736000000000001</v>
      </c>
      <c r="I75" s="348">
        <v>0</v>
      </c>
      <c r="J75" s="210">
        <f t="shared" ref="J75:J87" si="11">+H75-I75</f>
        <v>15.736000000000001</v>
      </c>
      <c r="K75" s="185">
        <v>0</v>
      </c>
      <c r="L75" s="197">
        <v>0</v>
      </c>
      <c r="M75" s="185">
        <v>0</v>
      </c>
      <c r="N75" s="210">
        <v>0</v>
      </c>
      <c r="O75" s="316">
        <v>3.4409999999999998</v>
      </c>
      <c r="P75" s="211">
        <f t="shared" si="7"/>
        <v>1.9857638507159266E-2</v>
      </c>
      <c r="Q75" s="317">
        <f t="shared" si="8"/>
        <v>19.196857638507158</v>
      </c>
      <c r="R75" s="196"/>
      <c r="S75" s="196"/>
      <c r="T75" s="196"/>
      <c r="U75" s="196"/>
      <c r="V75" s="196"/>
      <c r="W75" s="196">
        <f t="shared" si="9"/>
        <v>19.196857638507158</v>
      </c>
      <c r="X75" s="185">
        <v>18.443999999999999</v>
      </c>
      <c r="Y75" s="220">
        <v>21172071.449999999</v>
      </c>
      <c r="Z75" s="220">
        <v>2990779.4184319996</v>
      </c>
      <c r="AB75" s="161">
        <f>+D75-'[2]Data FY23-24 Final'!D75</f>
        <v>7451646</v>
      </c>
      <c r="AC75" s="161">
        <f>+E75-'[2]Data FY23-24 Final'!E75</f>
        <v>32810</v>
      </c>
      <c r="AD75" s="161">
        <f>+F75-'[2]Data FY23-24 Final'!F75</f>
        <v>7418836</v>
      </c>
      <c r="AE75" s="161">
        <f>+G75-'[2]Data FY23-24 Final'!G75</f>
        <v>-31208.1</v>
      </c>
      <c r="AF75" s="186">
        <f>+H75-'[2]Data FY23-24 Final'!H75</f>
        <v>0</v>
      </c>
      <c r="AG75" s="186">
        <f>+I75-'[2]Data FY23-24 Final'!I75</f>
        <v>0</v>
      </c>
      <c r="AH75" s="186">
        <f>+J75-'[2]Data FY23-24 Final'!J75</f>
        <v>0</v>
      </c>
      <c r="AI75" s="186">
        <f>+K75-'[2]Data FY23-24 Final'!K75</f>
        <v>0</v>
      </c>
      <c r="AJ75" s="186">
        <f>+L75-'[2]Data FY23-24 Final'!L75</f>
        <v>0</v>
      </c>
      <c r="AK75" s="186">
        <f>+M75-'[2]Data FY23-24 Final'!M75</f>
        <v>0</v>
      </c>
      <c r="AL75" s="186">
        <f>+N75-'[2]Data FY23-24 Final'!N75</f>
        <v>0</v>
      </c>
      <c r="AM75" s="186">
        <f>+O75-'[2]Data FY23-24 Final'!O75</f>
        <v>-0.129</v>
      </c>
      <c r="AN75" s="186">
        <f>+P75-'[2]Data FY23-24 Final'!P75</f>
        <v>-2.9142361492840736E-2</v>
      </c>
      <c r="AO75" s="186">
        <f>+Q75-'[2]Data FY23-24 Final'!Q75</f>
        <v>-0.15814236149284255</v>
      </c>
      <c r="AP75" s="186">
        <f>+R75-'[2]Data FY23-24 Final'!R75</f>
        <v>-8.8350000000000009</v>
      </c>
      <c r="AQ75" s="186">
        <f>+S75-'[2]Data FY23-24 Final'!S75</f>
        <v>0</v>
      </c>
      <c r="AR75" s="186">
        <f>+T75-'[2]Data FY23-24 Final'!T75</f>
        <v>0</v>
      </c>
      <c r="AS75" s="186">
        <f>+U75-'[2]Data FY23-24 Final'!U75</f>
        <v>0</v>
      </c>
      <c r="AT75" s="186">
        <f>+V75-'[2]Data FY23-24 Final'!V75</f>
        <v>0</v>
      </c>
      <c r="AU75" s="186">
        <f>+W75-'[2]Data FY23-24 Final'!W75</f>
        <v>-8.9931423614928434</v>
      </c>
      <c r="AV75" s="186">
        <f>+X75-'[2]Data FY23-24 Final'!X75</f>
        <v>0</v>
      </c>
      <c r="AW75" s="161">
        <f>+Y75-'[2]Data FY23-24 Final'!Y75</f>
        <v>24211.25</v>
      </c>
      <c r="AX75" s="161">
        <f>+Z75-'[2]Data FY23-24 Final'!Z75</f>
        <v>-744718.03448800044</v>
      </c>
    </row>
    <row r="76" spans="1:50" s="154" customFormat="1" ht="13" x14ac:dyDescent="0.3">
      <c r="A76" s="355" t="s">
        <v>234</v>
      </c>
      <c r="B76" s="187" t="s">
        <v>235</v>
      </c>
      <c r="C76" s="194" t="s">
        <v>235</v>
      </c>
      <c r="D76" s="349">
        <v>55662240</v>
      </c>
      <c r="E76" s="349">
        <v>0</v>
      </c>
      <c r="F76" s="349">
        <v>55662240</v>
      </c>
      <c r="G76" s="350">
        <v>1668.67</v>
      </c>
      <c r="H76" s="348">
        <v>19.067</v>
      </c>
      <c r="I76" s="348">
        <v>0</v>
      </c>
      <c r="J76" s="210">
        <f t="shared" si="11"/>
        <v>19.067</v>
      </c>
      <c r="K76" s="185">
        <v>0</v>
      </c>
      <c r="L76" s="197">
        <v>0</v>
      </c>
      <c r="M76" s="185">
        <v>0</v>
      </c>
      <c r="N76" s="210">
        <v>0</v>
      </c>
      <c r="O76" s="316">
        <v>0</v>
      </c>
      <c r="P76" s="211">
        <f t="shared" si="7"/>
        <v>2.9978491702813255E-2</v>
      </c>
      <c r="Q76" s="317">
        <f t="shared" si="8"/>
        <v>19.096978491702814</v>
      </c>
      <c r="R76" s="196"/>
      <c r="S76" s="196"/>
      <c r="T76" s="196"/>
      <c r="U76" s="196"/>
      <c r="V76" s="196"/>
      <c r="W76" s="196">
        <f t="shared" si="9"/>
        <v>19.096978491702814</v>
      </c>
      <c r="X76" s="185">
        <v>28.140999999999998</v>
      </c>
      <c r="Y76" s="220">
        <v>1764603.94</v>
      </c>
      <c r="Z76" s="220">
        <v>541097.00485000003</v>
      </c>
      <c r="AB76" s="161">
        <f>+D76-'[2]Data FY23-24 Final'!D76</f>
        <v>22500</v>
      </c>
      <c r="AC76" s="161">
        <f>+E76-'[2]Data FY23-24 Final'!E76</f>
        <v>0</v>
      </c>
      <c r="AD76" s="161">
        <f>+F76-'[2]Data FY23-24 Final'!F76</f>
        <v>22500</v>
      </c>
      <c r="AE76" s="161">
        <f>+G76-'[2]Data FY23-24 Final'!G76</f>
        <v>-42732.76</v>
      </c>
      <c r="AF76" s="186">
        <f>+H76-'[2]Data FY23-24 Final'!H76</f>
        <v>0</v>
      </c>
      <c r="AG76" s="186">
        <f>+I76-'[2]Data FY23-24 Final'!I76</f>
        <v>0</v>
      </c>
      <c r="AH76" s="186">
        <f>+J76-'[2]Data FY23-24 Final'!J76</f>
        <v>0</v>
      </c>
      <c r="AI76" s="186">
        <f>+K76-'[2]Data FY23-24 Final'!K76</f>
        <v>0</v>
      </c>
      <c r="AJ76" s="186">
        <f>+L76-'[2]Data FY23-24 Final'!L76</f>
        <v>0</v>
      </c>
      <c r="AK76" s="186">
        <f>+M76-'[2]Data FY23-24 Final'!M76</f>
        <v>0</v>
      </c>
      <c r="AL76" s="186">
        <f>+N76-'[2]Data FY23-24 Final'!N76</f>
        <v>0</v>
      </c>
      <c r="AM76" s="186">
        <f>+O76-'[2]Data FY23-24 Final'!O76</f>
        <v>0</v>
      </c>
      <c r="AN76" s="186">
        <f>+P76-'[2]Data FY23-24 Final'!P76</f>
        <v>-0.76802150829718674</v>
      </c>
      <c r="AO76" s="186">
        <f>+Q76-'[2]Data FY23-24 Final'!Q76</f>
        <v>-0.76802150829718485</v>
      </c>
      <c r="AP76" s="186">
        <f>+R76-'[2]Data FY23-24 Final'!R76</f>
        <v>-5.3019999999999996</v>
      </c>
      <c r="AQ76" s="186">
        <f>+S76-'[2]Data FY23-24 Final'!S76</f>
        <v>0</v>
      </c>
      <c r="AR76" s="186">
        <f>+T76-'[2]Data FY23-24 Final'!T76</f>
        <v>0</v>
      </c>
      <c r="AS76" s="186">
        <f>+U76-'[2]Data FY23-24 Final'!U76</f>
        <v>0</v>
      </c>
      <c r="AT76" s="186">
        <f>+V76-'[2]Data FY23-24 Final'!V76</f>
        <v>0</v>
      </c>
      <c r="AU76" s="186">
        <f>+W76-'[2]Data FY23-24 Final'!W76</f>
        <v>-6.070021508297188</v>
      </c>
      <c r="AV76" s="186">
        <f>+X76-'[2]Data FY23-24 Final'!X76</f>
        <v>0</v>
      </c>
      <c r="AW76" s="161">
        <f>+Y76-'[2]Data FY23-24 Final'!Y76</f>
        <v>169151.54000000004</v>
      </c>
      <c r="AX76" s="161">
        <f>+Z76-'[2]Data FY23-24 Final'!Z76</f>
        <v>100734.1174300001</v>
      </c>
    </row>
    <row r="77" spans="1:50" s="154" customFormat="1" x14ac:dyDescent="0.25">
      <c r="A77" s="187" t="s">
        <v>236</v>
      </c>
      <c r="B77" s="187" t="s">
        <v>237</v>
      </c>
      <c r="C77" s="194" t="s">
        <v>237</v>
      </c>
      <c r="D77" s="220">
        <v>128475126</v>
      </c>
      <c r="E77" s="220">
        <v>361073</v>
      </c>
      <c r="F77" s="220">
        <f t="shared" si="10"/>
        <v>128114053</v>
      </c>
      <c r="G77" s="221">
        <v>4975.9799999999996</v>
      </c>
      <c r="H77" s="348">
        <v>27</v>
      </c>
      <c r="I77" s="348">
        <v>0</v>
      </c>
      <c r="J77" s="210">
        <f t="shared" si="11"/>
        <v>27</v>
      </c>
      <c r="K77" s="185">
        <v>0</v>
      </c>
      <c r="L77" s="197">
        <v>0</v>
      </c>
      <c r="M77" s="185">
        <v>0</v>
      </c>
      <c r="N77" s="210">
        <v>0</v>
      </c>
      <c r="O77" s="316">
        <v>0</v>
      </c>
      <c r="P77" s="211">
        <f t="shared" si="7"/>
        <v>3.8840235582898931E-2</v>
      </c>
      <c r="Q77" s="317">
        <f t="shared" si="8"/>
        <v>27.038840235582899</v>
      </c>
      <c r="R77" s="196"/>
      <c r="S77" s="196"/>
      <c r="T77" s="196"/>
      <c r="U77" s="196"/>
      <c r="V77" s="196"/>
      <c r="W77" s="196">
        <f t="shared" si="9"/>
        <v>27.038840235582899</v>
      </c>
      <c r="X77" s="185">
        <v>41.325000000000003</v>
      </c>
      <c r="Y77" s="220">
        <v>5576082.4000000004</v>
      </c>
      <c r="Z77" s="220">
        <v>1863348.0765070007</v>
      </c>
      <c r="AB77" s="161">
        <f>+D77-'[2]Data FY23-24 Final'!D77</f>
        <v>7364099</v>
      </c>
      <c r="AC77" s="161">
        <f>+E77-'[2]Data FY23-24 Final'!E77</f>
        <v>0</v>
      </c>
      <c r="AD77" s="161">
        <f>+F77-'[2]Data FY23-24 Final'!F77</f>
        <v>7364099</v>
      </c>
      <c r="AE77" s="161">
        <f>+G77-'[2]Data FY23-24 Final'!G77</f>
        <v>0</v>
      </c>
      <c r="AF77" s="186">
        <f>+H77-'[2]Data FY23-24 Final'!H77</f>
        <v>0</v>
      </c>
      <c r="AG77" s="186">
        <f>+I77-'[2]Data FY23-24 Final'!I77</f>
        <v>-0.219</v>
      </c>
      <c r="AH77" s="186">
        <f>+J77-'[2]Data FY23-24 Final'!J77</f>
        <v>0.21900000000000119</v>
      </c>
      <c r="AI77" s="186">
        <f>+K77-'[2]Data FY23-24 Final'!K77</f>
        <v>0</v>
      </c>
      <c r="AJ77" s="186">
        <f>+L77-'[2]Data FY23-24 Final'!L77</f>
        <v>0</v>
      </c>
      <c r="AK77" s="186">
        <f>+M77-'[2]Data FY23-24 Final'!M77</f>
        <v>0</v>
      </c>
      <c r="AL77" s="186">
        <f>+N77-'[2]Data FY23-24 Final'!N77</f>
        <v>0</v>
      </c>
      <c r="AM77" s="186">
        <f>+O77-'[2]Data FY23-24 Final'!O77</f>
        <v>0</v>
      </c>
      <c r="AN77" s="186">
        <f>+P77-'[2]Data FY23-24 Final'!P77</f>
        <v>-2.1597644171010705E-3</v>
      </c>
      <c r="AO77" s="186">
        <f>+Q77-'[2]Data FY23-24 Final'!Q77</f>
        <v>0.21684023558290022</v>
      </c>
      <c r="AP77" s="186">
        <f>+R77-'[2]Data FY23-24 Final'!R77</f>
        <v>-8.8699999999999992</v>
      </c>
      <c r="AQ77" s="186">
        <f>+S77-'[2]Data FY23-24 Final'!S77</f>
        <v>0</v>
      </c>
      <c r="AR77" s="186">
        <f>+T77-'[2]Data FY23-24 Final'!T77</f>
        <v>0</v>
      </c>
      <c r="AS77" s="186">
        <f>+U77-'[2]Data FY23-24 Final'!U77</f>
        <v>0</v>
      </c>
      <c r="AT77" s="186">
        <f>+V77-'[2]Data FY23-24 Final'!V77</f>
        <v>0</v>
      </c>
      <c r="AU77" s="186">
        <f>+W77-'[2]Data FY23-24 Final'!W77</f>
        <v>-8.6531597644171008</v>
      </c>
      <c r="AV77" s="186">
        <f>+X77-'[2]Data FY23-24 Final'!X77</f>
        <v>0</v>
      </c>
      <c r="AW77" s="161">
        <f>+Y77-'[2]Data FY23-24 Final'!Y77</f>
        <v>132026.95000000019</v>
      </c>
      <c r="AX77" s="161">
        <f>+Z77-'[2]Data FY23-24 Final'!Z77</f>
        <v>-164608.1254189997</v>
      </c>
    </row>
    <row r="78" spans="1:50" s="154" customFormat="1" x14ac:dyDescent="0.25">
      <c r="A78" s="187" t="s">
        <v>238</v>
      </c>
      <c r="B78" s="187" t="s">
        <v>237</v>
      </c>
      <c r="C78" s="194" t="s">
        <v>239</v>
      </c>
      <c r="D78" s="220">
        <v>39591626</v>
      </c>
      <c r="E78" s="220">
        <v>0</v>
      </c>
      <c r="F78" s="220">
        <f t="shared" si="10"/>
        <v>39591626</v>
      </c>
      <c r="G78" s="221">
        <v>0</v>
      </c>
      <c r="H78" s="348">
        <v>27</v>
      </c>
      <c r="I78" s="348">
        <v>0</v>
      </c>
      <c r="J78" s="210">
        <f t="shared" si="11"/>
        <v>27</v>
      </c>
      <c r="K78" s="185">
        <v>0</v>
      </c>
      <c r="L78" s="197">
        <v>0</v>
      </c>
      <c r="M78" s="185">
        <v>0</v>
      </c>
      <c r="N78" s="210">
        <v>0</v>
      </c>
      <c r="O78" s="316">
        <v>0</v>
      </c>
      <c r="P78" s="211">
        <f t="shared" si="7"/>
        <v>0</v>
      </c>
      <c r="Q78" s="317">
        <f t="shared" si="8"/>
        <v>27</v>
      </c>
      <c r="R78" s="196"/>
      <c r="S78" s="196"/>
      <c r="T78" s="196"/>
      <c r="U78" s="196"/>
      <c r="V78" s="196"/>
      <c r="W78" s="196">
        <f t="shared" si="9"/>
        <v>27</v>
      </c>
      <c r="X78" s="185">
        <v>85.318000000000012</v>
      </c>
      <c r="Y78" s="220">
        <v>3478356.55</v>
      </c>
      <c r="Z78" s="220">
        <v>2308899.5663000001</v>
      </c>
      <c r="AB78" s="161">
        <f>+D78-'[2]Data FY23-24 Final'!D78</f>
        <v>4215945</v>
      </c>
      <c r="AC78" s="161">
        <f>+E78-'[2]Data FY23-24 Final'!E78</f>
        <v>0</v>
      </c>
      <c r="AD78" s="161">
        <f>+F78-'[2]Data FY23-24 Final'!F78</f>
        <v>4215945</v>
      </c>
      <c r="AE78" s="161">
        <f>+G78-'[2]Data FY23-24 Final'!G78</f>
        <v>0</v>
      </c>
      <c r="AF78" s="186">
        <f>+H78-'[2]Data FY23-24 Final'!H78</f>
        <v>0</v>
      </c>
      <c r="AG78" s="186">
        <f>+I78-'[2]Data FY23-24 Final'!I78</f>
        <v>0</v>
      </c>
      <c r="AH78" s="186">
        <f>+J78-'[2]Data FY23-24 Final'!J78</f>
        <v>0</v>
      </c>
      <c r="AI78" s="186">
        <f>+K78-'[2]Data FY23-24 Final'!K78</f>
        <v>0</v>
      </c>
      <c r="AJ78" s="186">
        <f>+L78-'[2]Data FY23-24 Final'!L78</f>
        <v>0</v>
      </c>
      <c r="AK78" s="186">
        <f>+M78-'[2]Data FY23-24 Final'!M78</f>
        <v>0</v>
      </c>
      <c r="AL78" s="186">
        <f>+N78-'[2]Data FY23-24 Final'!N78</f>
        <v>0</v>
      </c>
      <c r="AM78" s="186">
        <f>+O78-'[2]Data FY23-24 Final'!O78</f>
        <v>0</v>
      </c>
      <c r="AN78" s="186">
        <f>+P78-'[2]Data FY23-24 Final'!P78</f>
        <v>0</v>
      </c>
      <c r="AO78" s="186">
        <f>+Q78-'[2]Data FY23-24 Final'!Q78</f>
        <v>0</v>
      </c>
      <c r="AP78" s="186">
        <f>+R78-'[2]Data FY23-24 Final'!R78</f>
        <v>-12.11</v>
      </c>
      <c r="AQ78" s="186">
        <f>+S78-'[2]Data FY23-24 Final'!S78</f>
        <v>0</v>
      </c>
      <c r="AR78" s="186">
        <f>+T78-'[2]Data FY23-24 Final'!T78</f>
        <v>0</v>
      </c>
      <c r="AS78" s="186">
        <f>+U78-'[2]Data FY23-24 Final'!U78</f>
        <v>0</v>
      </c>
      <c r="AT78" s="186">
        <f>+V78-'[2]Data FY23-24 Final'!V78</f>
        <v>0</v>
      </c>
      <c r="AU78" s="186">
        <f>+W78-'[2]Data FY23-24 Final'!W78</f>
        <v>-12.11</v>
      </c>
      <c r="AV78" s="186">
        <f>+X78-'[2]Data FY23-24 Final'!X78</f>
        <v>0</v>
      </c>
      <c r="AW78" s="161">
        <f>+Y78-'[2]Data FY23-24 Final'!Y78</f>
        <v>122671.46999999974</v>
      </c>
      <c r="AX78" s="161">
        <f>+Z78-'[2]Data FY23-24 Final'!Z78</f>
        <v>2492.2733000000007</v>
      </c>
    </row>
    <row r="79" spans="1:50" s="154" customFormat="1" x14ac:dyDescent="0.25">
      <c r="A79" s="187" t="s">
        <v>240</v>
      </c>
      <c r="B79" s="187" t="s">
        <v>241</v>
      </c>
      <c r="C79" s="194" t="s">
        <v>242</v>
      </c>
      <c r="D79" s="220">
        <v>97793367</v>
      </c>
      <c r="E79" s="220">
        <v>0</v>
      </c>
      <c r="F79" s="220">
        <f t="shared" si="10"/>
        <v>97793367</v>
      </c>
      <c r="G79" s="221">
        <v>5999.94</v>
      </c>
      <c r="H79" s="348">
        <v>23.041</v>
      </c>
      <c r="I79" s="348">
        <v>0</v>
      </c>
      <c r="J79" s="210">
        <f t="shared" si="11"/>
        <v>23.041</v>
      </c>
      <c r="K79" s="185">
        <v>0</v>
      </c>
      <c r="L79" s="197">
        <v>0</v>
      </c>
      <c r="M79" s="185">
        <v>0</v>
      </c>
      <c r="N79" s="210">
        <v>0</v>
      </c>
      <c r="O79" s="316">
        <v>0</v>
      </c>
      <c r="P79" s="211">
        <f t="shared" si="7"/>
        <v>6.1353240859372382E-2</v>
      </c>
      <c r="Q79" s="317">
        <f t="shared" si="8"/>
        <v>23.102353240859372</v>
      </c>
      <c r="R79" s="196"/>
      <c r="S79" s="196"/>
      <c r="T79" s="196"/>
      <c r="U79" s="196"/>
      <c r="V79" s="196"/>
      <c r="W79" s="196">
        <f t="shared" si="9"/>
        <v>23.102353240859372</v>
      </c>
      <c r="X79" s="185">
        <v>28.209999999999997</v>
      </c>
      <c r="Y79" s="220">
        <v>3089312.25</v>
      </c>
      <c r="Z79" s="220">
        <v>505542.42285300029</v>
      </c>
      <c r="AB79" s="161">
        <f>+D79-'[2]Data FY23-24 Final'!D79</f>
        <v>2630004</v>
      </c>
      <c r="AC79" s="161">
        <f>+E79-'[2]Data FY23-24 Final'!E79</f>
        <v>0</v>
      </c>
      <c r="AD79" s="161">
        <f>+F79-'[2]Data FY23-24 Final'!F79</f>
        <v>2630004</v>
      </c>
      <c r="AE79" s="161">
        <f>+G79-'[2]Data FY23-24 Final'!G79</f>
        <v>0</v>
      </c>
      <c r="AF79" s="186">
        <f>+H79-'[2]Data FY23-24 Final'!H79</f>
        <v>0</v>
      </c>
      <c r="AG79" s="186">
        <f>+I79-'[2]Data FY23-24 Final'!I79</f>
        <v>0</v>
      </c>
      <c r="AH79" s="186">
        <f>+J79-'[2]Data FY23-24 Final'!J79</f>
        <v>0</v>
      </c>
      <c r="AI79" s="186">
        <f>+K79-'[2]Data FY23-24 Final'!K79</f>
        <v>0</v>
      </c>
      <c r="AJ79" s="186">
        <f>+L79-'[2]Data FY23-24 Final'!L79</f>
        <v>0</v>
      </c>
      <c r="AK79" s="186">
        <f>+M79-'[2]Data FY23-24 Final'!M79</f>
        <v>0</v>
      </c>
      <c r="AL79" s="186">
        <f>+N79-'[2]Data FY23-24 Final'!N79</f>
        <v>0</v>
      </c>
      <c r="AM79" s="186">
        <f>+O79-'[2]Data FY23-24 Final'!O79</f>
        <v>0</v>
      </c>
      <c r="AN79" s="186">
        <f>+P79-'[2]Data FY23-24 Final'!P79</f>
        <v>-6.4675914062761741E-4</v>
      </c>
      <c r="AO79" s="186">
        <f>+Q79-'[2]Data FY23-24 Final'!Q79</f>
        <v>-6.4675914062917172E-4</v>
      </c>
      <c r="AP79" s="186">
        <f>+R79-'[2]Data FY23-24 Final'!R79</f>
        <v>0</v>
      </c>
      <c r="AQ79" s="186">
        <f>+S79-'[2]Data FY23-24 Final'!S79</f>
        <v>0</v>
      </c>
      <c r="AR79" s="186">
        <f>+T79-'[2]Data FY23-24 Final'!T79</f>
        <v>0</v>
      </c>
      <c r="AS79" s="186">
        <f>+U79-'[2]Data FY23-24 Final'!U79</f>
        <v>0</v>
      </c>
      <c r="AT79" s="186">
        <f>+V79-'[2]Data FY23-24 Final'!V79</f>
        <v>0</v>
      </c>
      <c r="AU79" s="186">
        <f>+W79-'[2]Data FY23-24 Final'!W79</f>
        <v>-6.4675914062917172E-4</v>
      </c>
      <c r="AV79" s="186">
        <f>+X79-'[2]Data FY23-24 Final'!X79</f>
        <v>0</v>
      </c>
      <c r="AW79" s="161">
        <f>+Y79-'[2]Data FY23-24 Final'!Y79</f>
        <v>198410.70999999996</v>
      </c>
      <c r="AX79" s="161">
        <f>+Z79-'[2]Data FY23-24 Final'!Z79</f>
        <v>179264.11973600031</v>
      </c>
    </row>
    <row r="80" spans="1:50" s="154" customFormat="1" ht="13" x14ac:dyDescent="0.3">
      <c r="A80" s="187" t="s">
        <v>243</v>
      </c>
      <c r="B80" s="187" t="s">
        <v>244</v>
      </c>
      <c r="C80" s="194" t="s">
        <v>244</v>
      </c>
      <c r="D80" s="349">
        <v>14243214010</v>
      </c>
      <c r="E80" s="349">
        <v>635431385</v>
      </c>
      <c r="F80" s="349">
        <v>13607782625</v>
      </c>
      <c r="G80" s="350">
        <v>2767828.79</v>
      </c>
      <c r="H80" s="348">
        <v>27</v>
      </c>
      <c r="I80" s="348">
        <v>0</v>
      </c>
      <c r="J80" s="210">
        <f t="shared" si="11"/>
        <v>27</v>
      </c>
      <c r="K80" s="185">
        <v>0</v>
      </c>
      <c r="L80" s="197">
        <v>0</v>
      </c>
      <c r="M80" s="185">
        <v>0</v>
      </c>
      <c r="N80" s="210">
        <v>0</v>
      </c>
      <c r="O80" s="316">
        <v>7.8720000000000008</v>
      </c>
      <c r="P80" s="211">
        <f t="shared" si="7"/>
        <v>0.20340042652614021</v>
      </c>
      <c r="Q80" s="317">
        <f t="shared" si="8"/>
        <v>35.075400426526137</v>
      </c>
      <c r="R80" s="196"/>
      <c r="S80" s="196"/>
      <c r="T80" s="196"/>
      <c r="U80" s="196"/>
      <c r="V80" s="196"/>
      <c r="W80" s="196">
        <f t="shared" si="9"/>
        <v>35.075400426526137</v>
      </c>
      <c r="X80" s="185">
        <v>54.186999999999998</v>
      </c>
      <c r="Y80" s="220">
        <v>803965681.27999997</v>
      </c>
      <c r="Z80" s="220">
        <v>391303144.00190002</v>
      </c>
      <c r="AB80" s="161">
        <f>+D80-'[2]Data FY23-24 Final'!D80</f>
        <v>108522989</v>
      </c>
      <c r="AC80" s="161">
        <f>+E80-'[2]Data FY23-24 Final'!E80</f>
        <v>3775074</v>
      </c>
      <c r="AD80" s="161">
        <f>+F80-'[2]Data FY23-24 Final'!F80</f>
        <v>104747915</v>
      </c>
      <c r="AE80" s="161">
        <f>+G80-'[2]Data FY23-24 Final'!G80</f>
        <v>-1476526.7599999998</v>
      </c>
      <c r="AF80" s="186">
        <f>+H80-'[2]Data FY23-24 Final'!H80</f>
        <v>0</v>
      </c>
      <c r="AG80" s="186">
        <f>+I80-'[2]Data FY23-24 Final'!I80</f>
        <v>0</v>
      </c>
      <c r="AH80" s="186">
        <f>+J80-'[2]Data FY23-24 Final'!J80</f>
        <v>0</v>
      </c>
      <c r="AI80" s="186">
        <f>+K80-'[2]Data FY23-24 Final'!K80</f>
        <v>0</v>
      </c>
      <c r="AJ80" s="186">
        <f>+L80-'[2]Data FY23-24 Final'!L80</f>
        <v>0</v>
      </c>
      <c r="AK80" s="186">
        <f>+M80-'[2]Data FY23-24 Final'!M80</f>
        <v>0</v>
      </c>
      <c r="AL80" s="186">
        <f>+N80-'[2]Data FY23-24 Final'!N80</f>
        <v>0</v>
      </c>
      <c r="AM80" s="186">
        <f>+O80-'[2]Data FY23-24 Final'!O80</f>
        <v>-3.4339999999999984</v>
      </c>
      <c r="AN80" s="186">
        <f>+P80-'[2]Data FY23-24 Final'!P80</f>
        <v>-0.11059957347385979</v>
      </c>
      <c r="AO80" s="186">
        <f>+Q80-'[2]Data FY23-24 Final'!Q80</f>
        <v>-3.5445995734738602</v>
      </c>
      <c r="AP80" s="186">
        <f>+R80-'[2]Data FY23-24 Final'!R80</f>
        <v>-5.9059999999999997</v>
      </c>
      <c r="AQ80" s="186">
        <f>+S80-'[2]Data FY23-24 Final'!S80</f>
        <v>0</v>
      </c>
      <c r="AR80" s="186">
        <f>+T80-'[2]Data FY23-24 Final'!T80</f>
        <v>0</v>
      </c>
      <c r="AS80" s="186">
        <f>+U80-'[2]Data FY23-24 Final'!U80</f>
        <v>0</v>
      </c>
      <c r="AT80" s="186">
        <f>+V80-'[2]Data FY23-24 Final'!V80</f>
        <v>0</v>
      </c>
      <c r="AU80" s="186">
        <f>+W80-'[2]Data FY23-24 Final'!W80</f>
        <v>-9.4505995734738661</v>
      </c>
      <c r="AV80" s="186">
        <f>+X80-'[2]Data FY23-24 Final'!X80</f>
        <v>0</v>
      </c>
      <c r="AW80" s="161">
        <f>+Y80-'[2]Data FY23-24 Final'!Y80</f>
        <v>19823064.963999867</v>
      </c>
      <c r="AX80" s="161">
        <f>+Z80-'[2]Data FY23-24 Final'!Z80</f>
        <v>-4910492.6741000414</v>
      </c>
    </row>
    <row r="81" spans="1:50" s="154" customFormat="1" ht="13" x14ac:dyDescent="0.25">
      <c r="A81" s="187" t="s">
        <v>245</v>
      </c>
      <c r="B81" s="187" t="s">
        <v>174</v>
      </c>
      <c r="C81" s="194" t="s">
        <v>246</v>
      </c>
      <c r="D81" s="321">
        <v>19541579</v>
      </c>
      <c r="E81" s="321">
        <v>0</v>
      </c>
      <c r="F81" s="321">
        <v>19541579</v>
      </c>
      <c r="G81" s="321">
        <v>466.62</v>
      </c>
      <c r="H81" s="348">
        <v>27</v>
      </c>
      <c r="I81" s="348">
        <v>0.80099999999999838</v>
      </c>
      <c r="J81" s="210">
        <f t="shared" si="11"/>
        <v>26.199000000000002</v>
      </c>
      <c r="K81" s="185">
        <v>0</v>
      </c>
      <c r="L81" s="197">
        <v>0</v>
      </c>
      <c r="M81" s="185">
        <v>0</v>
      </c>
      <c r="N81" s="210">
        <v>0</v>
      </c>
      <c r="O81" s="316">
        <v>0</v>
      </c>
      <c r="P81" s="211">
        <f t="shared" si="7"/>
        <v>2.3878316076710076E-2</v>
      </c>
      <c r="Q81" s="317">
        <f t="shared" si="8"/>
        <v>26.222878316076713</v>
      </c>
      <c r="R81" s="196"/>
      <c r="S81" s="196"/>
      <c r="T81" s="196"/>
      <c r="U81" s="196"/>
      <c r="V81" s="196"/>
      <c r="W81" s="196">
        <f t="shared" si="9"/>
        <v>26.222878316076713</v>
      </c>
      <c r="X81" s="185">
        <v>148.029</v>
      </c>
      <c r="Y81" s="220">
        <v>3198837.91</v>
      </c>
      <c r="Z81" s="220">
        <v>2580937.3067490002</v>
      </c>
      <c r="AB81" s="161">
        <f>+D81-'[2]Data FY23-24 Final'!D81</f>
        <v>-486401</v>
      </c>
      <c r="AC81" s="161">
        <f>+E81-'[2]Data FY23-24 Final'!E81</f>
        <v>0</v>
      </c>
      <c r="AD81" s="161">
        <f>+F81-'[2]Data FY23-24 Final'!F81</f>
        <v>-486401</v>
      </c>
      <c r="AE81" s="161">
        <f>+G81-'[2]Data FY23-24 Final'!G81</f>
        <v>-15338.67</v>
      </c>
      <c r="AF81" s="186">
        <f>+H81-'[2]Data FY23-24 Final'!H81</f>
        <v>0</v>
      </c>
      <c r="AG81" s="186">
        <f>+I81-'[2]Data FY23-24 Final'!I81</f>
        <v>-1.0000000000000016</v>
      </c>
      <c r="AH81" s="186">
        <f>+J81-'[2]Data FY23-24 Final'!J81</f>
        <v>1</v>
      </c>
      <c r="AI81" s="186">
        <f>+K81-'[2]Data FY23-24 Final'!K81</f>
        <v>0</v>
      </c>
      <c r="AJ81" s="186">
        <f>+L81-'[2]Data FY23-24 Final'!L81</f>
        <v>0</v>
      </c>
      <c r="AK81" s="186">
        <f>+M81-'[2]Data FY23-24 Final'!M81</f>
        <v>0</v>
      </c>
      <c r="AL81" s="186">
        <f>+N81-'[2]Data FY23-24 Final'!N81</f>
        <v>0</v>
      </c>
      <c r="AM81" s="186">
        <f>+O81-'[2]Data FY23-24 Final'!O81</f>
        <v>0</v>
      </c>
      <c r="AN81" s="186">
        <f>+P81-'[2]Data FY23-24 Final'!P81</f>
        <v>-0.76512168392328994</v>
      </c>
      <c r="AO81" s="186">
        <f>+Q81-'[2]Data FY23-24 Final'!Q81</f>
        <v>0.23487831607671339</v>
      </c>
      <c r="AP81" s="186">
        <f>+R81-'[2]Data FY23-24 Final'!R81</f>
        <v>0</v>
      </c>
      <c r="AQ81" s="186">
        <f>+S81-'[2]Data FY23-24 Final'!S81</f>
        <v>0</v>
      </c>
      <c r="AR81" s="186">
        <f>+T81-'[2]Data FY23-24 Final'!T81</f>
        <v>0</v>
      </c>
      <c r="AS81" s="186">
        <f>+U81-'[2]Data FY23-24 Final'!U81</f>
        <v>0</v>
      </c>
      <c r="AT81" s="186">
        <f>+V81-'[2]Data FY23-24 Final'!V81</f>
        <v>0</v>
      </c>
      <c r="AU81" s="186">
        <f>+W81-'[2]Data FY23-24 Final'!W81</f>
        <v>0.23487831607671339</v>
      </c>
      <c r="AV81" s="186">
        <f>+X81-'[2]Data FY23-24 Final'!X81</f>
        <v>0</v>
      </c>
      <c r="AW81" s="161">
        <f>+Y81-'[2]Data FY23-24 Final'!Y81</f>
        <v>-33206.219999999739</v>
      </c>
      <c r="AX81" s="161">
        <f>+Z81-'[2]Data FY23-24 Final'!Z81</f>
        <v>-60586.89921099972</v>
      </c>
    </row>
    <row r="82" spans="1:50" s="154" customFormat="1" ht="13" x14ac:dyDescent="0.25">
      <c r="A82" s="187" t="s">
        <v>247</v>
      </c>
      <c r="B82" s="187" t="s">
        <v>174</v>
      </c>
      <c r="C82" s="194" t="s">
        <v>248</v>
      </c>
      <c r="D82" s="321">
        <v>19887270</v>
      </c>
      <c r="E82" s="321">
        <v>0</v>
      </c>
      <c r="F82" s="321">
        <v>19887270</v>
      </c>
      <c r="G82" s="321">
        <v>0</v>
      </c>
      <c r="H82" s="348">
        <v>27</v>
      </c>
      <c r="I82" s="348">
        <v>3.4800000000000004</v>
      </c>
      <c r="J82" s="210">
        <f t="shared" si="11"/>
        <v>23.52</v>
      </c>
      <c r="K82" s="185">
        <v>0</v>
      </c>
      <c r="L82" s="197">
        <v>0</v>
      </c>
      <c r="M82" s="185">
        <v>3.2610000000000001</v>
      </c>
      <c r="N82" s="210">
        <v>0</v>
      </c>
      <c r="O82" s="316">
        <v>0</v>
      </c>
      <c r="P82" s="211">
        <f t="shared" si="7"/>
        <v>0</v>
      </c>
      <c r="Q82" s="317">
        <f t="shared" si="8"/>
        <v>26.780999999999999</v>
      </c>
      <c r="R82" s="196"/>
      <c r="S82" s="196"/>
      <c r="T82" s="196"/>
      <c r="U82" s="196"/>
      <c r="V82" s="196"/>
      <c r="W82" s="196">
        <f t="shared" si="9"/>
        <v>26.780999999999999</v>
      </c>
      <c r="X82" s="185">
        <v>167.149</v>
      </c>
      <c r="Y82" s="220">
        <v>3382615.27</v>
      </c>
      <c r="Z82" s="220">
        <v>2862744.6596400002</v>
      </c>
      <c r="AB82" s="161">
        <f>+D82-'[2]Data FY23-24 Final'!D82</f>
        <v>316540</v>
      </c>
      <c r="AC82" s="161">
        <f>+E82-'[2]Data FY23-24 Final'!E82</f>
        <v>0</v>
      </c>
      <c r="AD82" s="161">
        <f>+F82-'[2]Data FY23-24 Final'!F82</f>
        <v>316540</v>
      </c>
      <c r="AE82" s="161">
        <f>+G82-'[2]Data FY23-24 Final'!G82</f>
        <v>-10063.209999999999</v>
      </c>
      <c r="AF82" s="186">
        <f>+H82-'[2]Data FY23-24 Final'!H82</f>
        <v>0</v>
      </c>
      <c r="AG82" s="186">
        <f>+I82-'[2]Data FY23-24 Final'!I82</f>
        <v>-1</v>
      </c>
      <c r="AH82" s="186">
        <f>+J82-'[2]Data FY23-24 Final'!J82</f>
        <v>1</v>
      </c>
      <c r="AI82" s="186">
        <f>+K82-'[2]Data FY23-24 Final'!K82</f>
        <v>0</v>
      </c>
      <c r="AJ82" s="186">
        <f>+L82-'[2]Data FY23-24 Final'!L82</f>
        <v>0</v>
      </c>
      <c r="AK82" s="186">
        <f>+M82-'[2]Data FY23-24 Final'!M82</f>
        <v>-3.6999999999999922E-2</v>
      </c>
      <c r="AL82" s="186">
        <f>+N82-'[2]Data FY23-24 Final'!N82</f>
        <v>0</v>
      </c>
      <c r="AM82" s="186">
        <f>+O82-'[2]Data FY23-24 Final'!O82</f>
        <v>0</v>
      </c>
      <c r="AN82" s="186">
        <f>+P82-'[2]Data FY23-24 Final'!P82</f>
        <v>-0.51400000000000001</v>
      </c>
      <c r="AO82" s="186">
        <f>+Q82-'[2]Data FY23-24 Final'!Q82</f>
        <v>0.44899999999999807</v>
      </c>
      <c r="AP82" s="186">
        <f>+R82-'[2]Data FY23-24 Final'!R82</f>
        <v>0</v>
      </c>
      <c r="AQ82" s="186">
        <f>+S82-'[2]Data FY23-24 Final'!S82</f>
        <v>0</v>
      </c>
      <c r="AR82" s="186">
        <f>+T82-'[2]Data FY23-24 Final'!T82</f>
        <v>0</v>
      </c>
      <c r="AS82" s="186">
        <f>+U82-'[2]Data FY23-24 Final'!U82</f>
        <v>0</v>
      </c>
      <c r="AT82" s="186">
        <f>+V82-'[2]Data FY23-24 Final'!V82</f>
        <v>0</v>
      </c>
      <c r="AU82" s="186">
        <f>+W82-'[2]Data FY23-24 Final'!W82</f>
        <v>0.44899999999999807</v>
      </c>
      <c r="AV82" s="186">
        <f>+X82-'[2]Data FY23-24 Final'!X82</f>
        <v>0</v>
      </c>
      <c r="AW82" s="161">
        <f>+Y82-'[2]Data FY23-24 Final'!Y82</f>
        <v>184464.87000000011</v>
      </c>
      <c r="AX82" s="161">
        <f>+Z82-'[2]Data FY23-24 Final'!Z82</f>
        <v>174060.90924000042</v>
      </c>
    </row>
    <row r="83" spans="1:50" s="154" customFormat="1" x14ac:dyDescent="0.25">
      <c r="A83" s="187" t="s">
        <v>249</v>
      </c>
      <c r="B83" s="187" t="s">
        <v>139</v>
      </c>
      <c r="C83" s="194" t="s">
        <v>250</v>
      </c>
      <c r="D83" s="220">
        <v>43182742</v>
      </c>
      <c r="E83" s="220">
        <v>0</v>
      </c>
      <c r="F83" s="220">
        <f t="shared" si="10"/>
        <v>43182742</v>
      </c>
      <c r="G83" s="221">
        <v>2290.3599999999997</v>
      </c>
      <c r="H83" s="348">
        <v>27</v>
      </c>
      <c r="I83" s="348">
        <v>0</v>
      </c>
      <c r="J83" s="210">
        <f t="shared" si="11"/>
        <v>27</v>
      </c>
      <c r="K83" s="185">
        <v>0</v>
      </c>
      <c r="L83" s="197">
        <v>0</v>
      </c>
      <c r="M83" s="185">
        <v>0</v>
      </c>
      <c r="N83" s="210">
        <v>0</v>
      </c>
      <c r="O83" s="316">
        <v>0</v>
      </c>
      <c r="P83" s="211">
        <f t="shared" si="7"/>
        <v>5.3038781094540029E-2</v>
      </c>
      <c r="Q83" s="317">
        <f t="shared" si="8"/>
        <v>27.053038781094539</v>
      </c>
      <c r="R83" s="196"/>
      <c r="S83" s="196"/>
      <c r="T83" s="196"/>
      <c r="U83" s="196"/>
      <c r="V83" s="196"/>
      <c r="W83" s="196">
        <f t="shared" si="9"/>
        <v>27.053038781094539</v>
      </c>
      <c r="X83" s="185">
        <v>61.994</v>
      </c>
      <c r="Y83" s="220">
        <v>2781008.48</v>
      </c>
      <c r="Z83" s="220">
        <v>1511121.2427999999</v>
      </c>
      <c r="AB83" s="161">
        <f>+D83-'[2]Data FY23-24 Final'!D83</f>
        <v>1403098</v>
      </c>
      <c r="AC83" s="161">
        <f>+E83-'[2]Data FY23-24 Final'!E83</f>
        <v>0</v>
      </c>
      <c r="AD83" s="161">
        <f>+F83-'[2]Data FY23-24 Final'!F83</f>
        <v>1403098</v>
      </c>
      <c r="AE83" s="161">
        <f>+G83-'[2]Data FY23-24 Final'!G83</f>
        <v>-7.6400000000003274</v>
      </c>
      <c r="AF83" s="186">
        <f>+H83-'[2]Data FY23-24 Final'!H83</f>
        <v>0</v>
      </c>
      <c r="AG83" s="186">
        <f>+I83-'[2]Data FY23-24 Final'!I83</f>
        <v>0</v>
      </c>
      <c r="AH83" s="186">
        <f>+J83-'[2]Data FY23-24 Final'!J83</f>
        <v>0</v>
      </c>
      <c r="AI83" s="186">
        <f>+K83-'[2]Data FY23-24 Final'!K83</f>
        <v>0</v>
      </c>
      <c r="AJ83" s="186">
        <f>+L83-'[2]Data FY23-24 Final'!L83</f>
        <v>0</v>
      </c>
      <c r="AK83" s="186">
        <f>+M83-'[2]Data FY23-24 Final'!M83</f>
        <v>0</v>
      </c>
      <c r="AL83" s="186">
        <f>+N83-'[2]Data FY23-24 Final'!N83</f>
        <v>0</v>
      </c>
      <c r="AM83" s="186">
        <f>+O83-'[2]Data FY23-24 Final'!O83</f>
        <v>0</v>
      </c>
      <c r="AN83" s="186">
        <f>+P83-'[2]Data FY23-24 Final'!P83</f>
        <v>-1.9612189054599716E-3</v>
      </c>
      <c r="AO83" s="186">
        <f>+Q83-'[2]Data FY23-24 Final'!Q83</f>
        <v>-1.9612189054605267E-3</v>
      </c>
      <c r="AP83" s="186">
        <f>+R83-'[2]Data FY23-24 Final'!R83</f>
        <v>0</v>
      </c>
      <c r="AQ83" s="186">
        <f>+S83-'[2]Data FY23-24 Final'!S83</f>
        <v>0</v>
      </c>
      <c r="AR83" s="186">
        <f>+T83-'[2]Data FY23-24 Final'!T83</f>
        <v>0</v>
      </c>
      <c r="AS83" s="186">
        <f>+U83-'[2]Data FY23-24 Final'!U83</f>
        <v>0</v>
      </c>
      <c r="AT83" s="186">
        <f>+V83-'[2]Data FY23-24 Final'!V83</f>
        <v>0</v>
      </c>
      <c r="AU83" s="186">
        <f>+W83-'[2]Data FY23-24 Final'!W83</f>
        <v>-1.9612189054605267E-3</v>
      </c>
      <c r="AV83" s="186">
        <f>+X83-'[2]Data FY23-24 Final'!X83</f>
        <v>0</v>
      </c>
      <c r="AW83" s="161">
        <f>+Y83-'[2]Data FY23-24 Final'!Y83</f>
        <v>10271.919999999925</v>
      </c>
      <c r="AX83" s="161">
        <f>+Z83-'[2]Data FY23-24 Final'!Z83</f>
        <v>-33075.159200000111</v>
      </c>
    </row>
    <row r="84" spans="1:50" s="154" customFormat="1" x14ac:dyDescent="0.25">
      <c r="A84" s="187" t="s">
        <v>251</v>
      </c>
      <c r="B84" s="187" t="s">
        <v>139</v>
      </c>
      <c r="C84" s="194" t="s">
        <v>252</v>
      </c>
      <c r="D84" s="220">
        <v>30692947</v>
      </c>
      <c r="E84" s="220">
        <v>0</v>
      </c>
      <c r="F84" s="220">
        <f t="shared" si="10"/>
        <v>30692947</v>
      </c>
      <c r="G84" s="221">
        <v>79131.509999999995</v>
      </c>
      <c r="H84" s="348">
        <v>24.334</v>
      </c>
      <c r="I84" s="348">
        <v>0</v>
      </c>
      <c r="J84" s="210">
        <f t="shared" si="11"/>
        <v>24.334</v>
      </c>
      <c r="K84" s="185">
        <v>0</v>
      </c>
      <c r="L84" s="197">
        <v>0</v>
      </c>
      <c r="M84" s="185">
        <v>4.54</v>
      </c>
      <c r="N84" s="210">
        <v>0</v>
      </c>
      <c r="O84" s="316">
        <v>0</v>
      </c>
      <c r="P84" s="211">
        <f t="shared" si="7"/>
        <v>2.5781659219624626</v>
      </c>
      <c r="Q84" s="317">
        <f t="shared" si="8"/>
        <v>31.452165921962461</v>
      </c>
      <c r="R84" s="196"/>
      <c r="S84" s="196"/>
      <c r="T84" s="196"/>
      <c r="U84" s="196"/>
      <c r="V84" s="196"/>
      <c r="W84" s="196">
        <f t="shared" si="9"/>
        <v>31.452165921962461</v>
      </c>
      <c r="X84" s="185">
        <v>75.546999999999997</v>
      </c>
      <c r="Y84" s="220">
        <v>2371098.61</v>
      </c>
      <c r="Z84" s="220">
        <v>1571891.1090019997</v>
      </c>
      <c r="AB84" s="161">
        <f>+D84-'[2]Data FY23-24 Final'!D84</f>
        <v>616516</v>
      </c>
      <c r="AC84" s="161">
        <f>+E84-'[2]Data FY23-24 Final'!E84</f>
        <v>0</v>
      </c>
      <c r="AD84" s="161">
        <f>+F84-'[2]Data FY23-24 Final'!F84</f>
        <v>616516</v>
      </c>
      <c r="AE84" s="161">
        <f>+G84-'[2]Data FY23-24 Final'!G84</f>
        <v>0</v>
      </c>
      <c r="AF84" s="186">
        <f>+H84-'[2]Data FY23-24 Final'!H84</f>
        <v>0</v>
      </c>
      <c r="AG84" s="186">
        <f>+I84-'[2]Data FY23-24 Final'!I84</f>
        <v>0</v>
      </c>
      <c r="AH84" s="186">
        <f>+J84-'[2]Data FY23-24 Final'!J84</f>
        <v>0</v>
      </c>
      <c r="AI84" s="186">
        <f>+K84-'[2]Data FY23-24 Final'!K84</f>
        <v>0</v>
      </c>
      <c r="AJ84" s="186">
        <f>+L84-'[2]Data FY23-24 Final'!L84</f>
        <v>0</v>
      </c>
      <c r="AK84" s="186">
        <f>+M84-'[2]Data FY23-24 Final'!M84</f>
        <v>-9.4000000000000306E-2</v>
      </c>
      <c r="AL84" s="186">
        <f>+N84-'[2]Data FY23-24 Final'!N84</f>
        <v>0</v>
      </c>
      <c r="AM84" s="186">
        <f>+O84-'[2]Data FY23-24 Final'!O84</f>
        <v>0</v>
      </c>
      <c r="AN84" s="186">
        <f>+P84-'[2]Data FY23-24 Final'!P84</f>
        <v>2.5781659219624626</v>
      </c>
      <c r="AO84" s="186">
        <f>+Q84-'[2]Data FY23-24 Final'!Q84</f>
        <v>2.484165921962461</v>
      </c>
      <c r="AP84" s="186">
        <f>+R84-'[2]Data FY23-24 Final'!R84</f>
        <v>-7.4809999999999999</v>
      </c>
      <c r="AQ84" s="186">
        <f>+S84-'[2]Data FY23-24 Final'!S84</f>
        <v>0</v>
      </c>
      <c r="AR84" s="186">
        <f>+T84-'[2]Data FY23-24 Final'!T84</f>
        <v>0</v>
      </c>
      <c r="AS84" s="186">
        <f>+U84-'[2]Data FY23-24 Final'!U84</f>
        <v>0</v>
      </c>
      <c r="AT84" s="186">
        <f>+V84-'[2]Data FY23-24 Final'!V84</f>
        <v>0</v>
      </c>
      <c r="AU84" s="186">
        <f>+W84-'[2]Data FY23-24 Final'!W84</f>
        <v>-4.9968340780375371</v>
      </c>
      <c r="AV84" s="186">
        <f>+X84-'[2]Data FY23-24 Final'!X84</f>
        <v>0</v>
      </c>
      <c r="AW84" s="161">
        <f>+Y84-'[2]Data FY23-24 Final'!Y84</f>
        <v>53955.529999999795</v>
      </c>
      <c r="AX84" s="161">
        <f>+Z84-'[2]Data FY23-24 Final'!Z84</f>
        <v>67926.070955999661</v>
      </c>
    </row>
    <row r="85" spans="1:50" s="154" customFormat="1" x14ac:dyDescent="0.25">
      <c r="A85" s="187" t="s">
        <v>253</v>
      </c>
      <c r="B85" s="187" t="s">
        <v>139</v>
      </c>
      <c r="C85" s="194" t="s">
        <v>254</v>
      </c>
      <c r="D85" s="220">
        <v>24727555</v>
      </c>
      <c r="E85" s="220">
        <v>0</v>
      </c>
      <c r="F85" s="220">
        <f t="shared" si="10"/>
        <v>24727555</v>
      </c>
      <c r="G85" s="221">
        <v>4109.01</v>
      </c>
      <c r="H85" s="348">
        <v>27</v>
      </c>
      <c r="I85" s="348">
        <v>0</v>
      </c>
      <c r="J85" s="210">
        <f t="shared" si="11"/>
        <v>27</v>
      </c>
      <c r="K85" s="185">
        <v>0</v>
      </c>
      <c r="L85" s="197">
        <v>0</v>
      </c>
      <c r="M85" s="185">
        <v>0</v>
      </c>
      <c r="N85" s="210">
        <v>0</v>
      </c>
      <c r="O85" s="316">
        <v>4.8209999999999997</v>
      </c>
      <c r="P85" s="211">
        <f t="shared" si="7"/>
        <v>0.16617130161069302</v>
      </c>
      <c r="Q85" s="317">
        <f t="shared" si="8"/>
        <v>31.98717130161069</v>
      </c>
      <c r="R85" s="196"/>
      <c r="S85" s="196"/>
      <c r="T85" s="196"/>
      <c r="U85" s="196"/>
      <c r="V85" s="196"/>
      <c r="W85" s="196">
        <f t="shared" si="9"/>
        <v>31.98717130161069</v>
      </c>
      <c r="X85" s="185">
        <v>134.22300000000001</v>
      </c>
      <c r="Y85" s="220">
        <v>3383601.22</v>
      </c>
      <c r="Z85" s="220">
        <v>2651369.7048000004</v>
      </c>
      <c r="AB85" s="161">
        <f>+D85-'[2]Data FY23-24 Final'!D85</f>
        <v>1100075</v>
      </c>
      <c r="AC85" s="161">
        <f>+E85-'[2]Data FY23-24 Final'!E85</f>
        <v>0</v>
      </c>
      <c r="AD85" s="161">
        <f>+F85-'[2]Data FY23-24 Final'!F85</f>
        <v>1100075</v>
      </c>
      <c r="AE85" s="161">
        <f>+G85-'[2]Data FY23-24 Final'!G85</f>
        <v>1.0000000000218279E-2</v>
      </c>
      <c r="AF85" s="186">
        <f>+H85-'[2]Data FY23-24 Final'!H85</f>
        <v>0</v>
      </c>
      <c r="AG85" s="186">
        <f>+I85-'[2]Data FY23-24 Final'!I85</f>
        <v>0</v>
      </c>
      <c r="AH85" s="186">
        <f>+J85-'[2]Data FY23-24 Final'!J85</f>
        <v>0</v>
      </c>
      <c r="AI85" s="186">
        <f>+K85-'[2]Data FY23-24 Final'!K85</f>
        <v>0</v>
      </c>
      <c r="AJ85" s="186">
        <f>+L85-'[2]Data FY23-24 Final'!L85</f>
        <v>0</v>
      </c>
      <c r="AK85" s="186">
        <f>+M85-'[2]Data FY23-24 Final'!M85</f>
        <v>0</v>
      </c>
      <c r="AL85" s="186">
        <f>+N85-'[2]Data FY23-24 Final'!N85</f>
        <v>0</v>
      </c>
      <c r="AM85" s="186">
        <f>+O85-'[2]Data FY23-24 Final'!O85</f>
        <v>-2.6790000000000003</v>
      </c>
      <c r="AN85" s="186">
        <f>+P85-'[2]Data FY23-24 Final'!P85</f>
        <v>-7.8286983893069706E-3</v>
      </c>
      <c r="AO85" s="186">
        <f>+Q85-'[2]Data FY23-24 Final'!Q85</f>
        <v>-2.6868286983893093</v>
      </c>
      <c r="AP85" s="186">
        <f>+R85-'[2]Data FY23-24 Final'!R85</f>
        <v>0</v>
      </c>
      <c r="AQ85" s="186">
        <f>+S85-'[2]Data FY23-24 Final'!S85</f>
        <v>0</v>
      </c>
      <c r="AR85" s="186">
        <f>+T85-'[2]Data FY23-24 Final'!T85</f>
        <v>0</v>
      </c>
      <c r="AS85" s="186">
        <f>+U85-'[2]Data FY23-24 Final'!U85</f>
        <v>0</v>
      </c>
      <c r="AT85" s="186">
        <f>+V85-'[2]Data FY23-24 Final'!V85</f>
        <v>0</v>
      </c>
      <c r="AU85" s="186">
        <f>+W85-'[2]Data FY23-24 Final'!W85</f>
        <v>-2.6868286983893093</v>
      </c>
      <c r="AV85" s="186">
        <f>+X85-'[2]Data FY23-24 Final'!X85</f>
        <v>0</v>
      </c>
      <c r="AW85" s="161">
        <f>+Y85-'[2]Data FY23-24 Final'!Y85</f>
        <v>18548.530000000261</v>
      </c>
      <c r="AX85" s="161">
        <f>+Z85-'[2]Data FY23-24 Final'!Z85</f>
        <v>-5586.7251999997534</v>
      </c>
    </row>
    <row r="86" spans="1:50" s="154" customFormat="1" x14ac:dyDescent="0.25">
      <c r="A86" s="187" t="s">
        <v>255</v>
      </c>
      <c r="B86" s="187" t="s">
        <v>139</v>
      </c>
      <c r="C86" s="194" t="s">
        <v>256</v>
      </c>
      <c r="D86" s="220">
        <v>18198786</v>
      </c>
      <c r="E86" s="220">
        <v>0</v>
      </c>
      <c r="F86" s="220">
        <f t="shared" si="10"/>
        <v>18198786</v>
      </c>
      <c r="G86" s="221">
        <v>2731.14</v>
      </c>
      <c r="H86" s="348">
        <v>27</v>
      </c>
      <c r="I86" s="348">
        <v>0.81200000000000117</v>
      </c>
      <c r="J86" s="210">
        <f t="shared" si="11"/>
        <v>26.187999999999999</v>
      </c>
      <c r="K86" s="185">
        <v>0</v>
      </c>
      <c r="L86" s="197">
        <v>0</v>
      </c>
      <c r="M86" s="185">
        <v>0</v>
      </c>
      <c r="N86" s="210">
        <v>0</v>
      </c>
      <c r="O86" s="316">
        <v>0</v>
      </c>
      <c r="P86" s="211">
        <f t="shared" si="7"/>
        <v>0.15007264770298415</v>
      </c>
      <c r="Q86" s="317">
        <f t="shared" si="8"/>
        <v>26.338072647702983</v>
      </c>
      <c r="R86" s="196"/>
      <c r="S86" s="196"/>
      <c r="T86" s="196"/>
      <c r="U86" s="196"/>
      <c r="V86" s="196"/>
      <c r="W86" s="196">
        <f t="shared" si="9"/>
        <v>26.338072647702983</v>
      </c>
      <c r="X86" s="185">
        <v>117.13800000000001</v>
      </c>
      <c r="Y86" s="220">
        <v>2175034.67</v>
      </c>
      <c r="Z86" s="220">
        <v>1673384.657632</v>
      </c>
      <c r="AB86" s="161">
        <f>+D86-'[2]Data FY23-24 Final'!D86</f>
        <v>453284</v>
      </c>
      <c r="AC86" s="161">
        <f>+E86-'[2]Data FY23-24 Final'!E86</f>
        <v>0</v>
      </c>
      <c r="AD86" s="161">
        <f>+F86-'[2]Data FY23-24 Final'!F86</f>
        <v>453284</v>
      </c>
      <c r="AE86" s="161">
        <f>+G86-'[2]Data FY23-24 Final'!G86</f>
        <v>2731.14</v>
      </c>
      <c r="AF86" s="186">
        <f>+H86-'[2]Data FY23-24 Final'!H86</f>
        <v>0</v>
      </c>
      <c r="AG86" s="186">
        <f>+I86-'[2]Data FY23-24 Final'!I86</f>
        <v>-0.99999999999999889</v>
      </c>
      <c r="AH86" s="186">
        <f>+J86-'[2]Data FY23-24 Final'!J86</f>
        <v>1</v>
      </c>
      <c r="AI86" s="186">
        <f>+K86-'[2]Data FY23-24 Final'!K86</f>
        <v>0</v>
      </c>
      <c r="AJ86" s="186">
        <f>+L86-'[2]Data FY23-24 Final'!L86</f>
        <v>0</v>
      </c>
      <c r="AK86" s="186">
        <f>+M86-'[2]Data FY23-24 Final'!M86</f>
        <v>0</v>
      </c>
      <c r="AL86" s="186">
        <f>+N86-'[2]Data FY23-24 Final'!N86</f>
        <v>0</v>
      </c>
      <c r="AM86" s="186">
        <f>+O86-'[2]Data FY23-24 Final'!O86</f>
        <v>-13.7</v>
      </c>
      <c r="AN86" s="186">
        <f>+P86-'[2]Data FY23-24 Final'!P86</f>
        <v>0.15007264770298415</v>
      </c>
      <c r="AO86" s="186">
        <f>+Q86-'[2]Data FY23-24 Final'!Q86</f>
        <v>-12.549927352297015</v>
      </c>
      <c r="AP86" s="186">
        <f>+R86-'[2]Data FY23-24 Final'!R86</f>
        <v>0</v>
      </c>
      <c r="AQ86" s="186">
        <f>+S86-'[2]Data FY23-24 Final'!S86</f>
        <v>0</v>
      </c>
      <c r="AR86" s="186">
        <f>+T86-'[2]Data FY23-24 Final'!T86</f>
        <v>0</v>
      </c>
      <c r="AS86" s="186">
        <f>+U86-'[2]Data FY23-24 Final'!U86</f>
        <v>0</v>
      </c>
      <c r="AT86" s="186">
        <f>+V86-'[2]Data FY23-24 Final'!V86</f>
        <v>0</v>
      </c>
      <c r="AU86" s="186">
        <f>+W86-'[2]Data FY23-24 Final'!W86</f>
        <v>-12.549927352297015</v>
      </c>
      <c r="AV86" s="186">
        <f>+X86-'[2]Data FY23-24 Final'!X86</f>
        <v>0</v>
      </c>
      <c r="AW86" s="161">
        <f>+Y86-'[2]Data FY23-24 Final'!Y86</f>
        <v>57811.75</v>
      </c>
      <c r="AX86" s="161">
        <f>+Z86-'[2]Data FY23-24 Final'!Z86</f>
        <v>34659.712008000119</v>
      </c>
    </row>
    <row r="87" spans="1:50" s="154" customFormat="1" x14ac:dyDescent="0.25">
      <c r="A87" s="187" t="s">
        <v>257</v>
      </c>
      <c r="B87" s="187" t="s">
        <v>139</v>
      </c>
      <c r="C87" s="194" t="s">
        <v>258</v>
      </c>
      <c r="D87" s="220">
        <v>116176801</v>
      </c>
      <c r="E87" s="220">
        <v>0</v>
      </c>
      <c r="F87" s="220">
        <f t="shared" si="10"/>
        <v>116176801</v>
      </c>
      <c r="G87" s="221">
        <v>32845.07</v>
      </c>
      <c r="H87" s="348">
        <v>27</v>
      </c>
      <c r="I87" s="348">
        <v>0</v>
      </c>
      <c r="J87" s="210">
        <f t="shared" si="11"/>
        <v>27</v>
      </c>
      <c r="K87" s="185">
        <v>0</v>
      </c>
      <c r="L87" s="197">
        <v>0</v>
      </c>
      <c r="M87" s="185">
        <v>0</v>
      </c>
      <c r="N87" s="210">
        <v>0</v>
      </c>
      <c r="O87" s="316">
        <v>2.2839999999999998</v>
      </c>
      <c r="P87" s="211">
        <f t="shared" si="7"/>
        <v>0.28271625416850654</v>
      </c>
      <c r="Q87" s="317">
        <f t="shared" si="8"/>
        <v>29.566716254168504</v>
      </c>
      <c r="R87" s="196"/>
      <c r="S87" s="196"/>
      <c r="T87" s="196"/>
      <c r="U87" s="196"/>
      <c r="V87" s="196"/>
      <c r="W87" s="196">
        <f t="shared" si="9"/>
        <v>29.566716254168504</v>
      </c>
      <c r="X87" s="185">
        <v>65.262</v>
      </c>
      <c r="Y87" s="220">
        <v>7969812.6699999999</v>
      </c>
      <c r="Z87" s="220">
        <v>4523823.6492999997</v>
      </c>
      <c r="AB87" s="161">
        <f>+D87-'[2]Data FY23-24 Final'!D87</f>
        <v>1963765</v>
      </c>
      <c r="AC87" s="161">
        <f>+E87-'[2]Data FY23-24 Final'!E87</f>
        <v>0</v>
      </c>
      <c r="AD87" s="161">
        <f>+F87-'[2]Data FY23-24 Final'!F87</f>
        <v>1963765</v>
      </c>
      <c r="AE87" s="161">
        <f>+G87-'[2]Data FY23-24 Final'!G87</f>
        <v>30465.47</v>
      </c>
      <c r="AF87" s="186">
        <f>+H87-'[2]Data FY23-24 Final'!H87</f>
        <v>0</v>
      </c>
      <c r="AG87" s="186">
        <f>+I87-'[2]Data FY23-24 Final'!I87</f>
        <v>0</v>
      </c>
      <c r="AH87" s="186">
        <f>+J87-'[2]Data FY23-24 Final'!J87</f>
        <v>0</v>
      </c>
      <c r="AI87" s="186">
        <f>+K87-'[2]Data FY23-24 Final'!K87</f>
        <v>0</v>
      </c>
      <c r="AJ87" s="186">
        <f>+L87-'[2]Data FY23-24 Final'!L87</f>
        <v>0</v>
      </c>
      <c r="AK87" s="186">
        <f>+M87-'[2]Data FY23-24 Final'!M87</f>
        <v>0</v>
      </c>
      <c r="AL87" s="186">
        <f>+N87-'[2]Data FY23-24 Final'!N87</f>
        <v>0</v>
      </c>
      <c r="AM87" s="186">
        <f>+O87-'[2]Data FY23-24 Final'!O87</f>
        <v>-11.081</v>
      </c>
      <c r="AN87" s="186">
        <f>+P87-'[2]Data FY23-24 Final'!P87</f>
        <v>0.26171625416850652</v>
      </c>
      <c r="AO87" s="186">
        <f>+Q87-'[2]Data FY23-24 Final'!Q87</f>
        <v>-10.819283745831498</v>
      </c>
      <c r="AP87" s="186">
        <f>+R87-'[2]Data FY23-24 Final'!R87</f>
        <v>0</v>
      </c>
      <c r="AQ87" s="186">
        <f>+S87-'[2]Data FY23-24 Final'!S87</f>
        <v>0</v>
      </c>
      <c r="AR87" s="186">
        <f>+T87-'[2]Data FY23-24 Final'!T87</f>
        <v>0</v>
      </c>
      <c r="AS87" s="186">
        <f>+U87-'[2]Data FY23-24 Final'!U87</f>
        <v>0</v>
      </c>
      <c r="AT87" s="186">
        <f>+V87-'[2]Data FY23-24 Final'!V87</f>
        <v>0</v>
      </c>
      <c r="AU87" s="186">
        <f>+W87-'[2]Data FY23-24 Final'!W87</f>
        <v>-10.819283745831498</v>
      </c>
      <c r="AV87" s="186">
        <f>+X87-'[2]Data FY23-24 Final'!X87</f>
        <v>0</v>
      </c>
      <c r="AW87" s="161">
        <f>+Y87-'[2]Data FY23-24 Final'!Y87</f>
        <v>178016.1799999997</v>
      </c>
      <c r="AX87" s="161">
        <f>+Z87-'[2]Data FY23-24 Final'!Z87</f>
        <v>118155.07129999995</v>
      </c>
    </row>
    <row r="88" spans="1:50" s="154" customFormat="1" x14ac:dyDescent="0.25">
      <c r="A88" s="187" t="s">
        <v>259</v>
      </c>
      <c r="B88" s="187" t="s">
        <v>260</v>
      </c>
      <c r="C88" s="194" t="s">
        <v>260</v>
      </c>
      <c r="D88" s="220">
        <v>402915979</v>
      </c>
      <c r="E88" s="220">
        <v>3795889</v>
      </c>
      <c r="F88" s="220">
        <f t="shared" si="10"/>
        <v>399120090</v>
      </c>
      <c r="G88" s="221">
        <v>60201.48</v>
      </c>
      <c r="H88" s="348">
        <v>26.513999999999999</v>
      </c>
      <c r="I88" s="348">
        <v>0</v>
      </c>
      <c r="J88" s="352">
        <f>+H88-I88-K88-L88</f>
        <v>26.111999999999998</v>
      </c>
      <c r="K88" s="353">
        <v>0.40200000000000002</v>
      </c>
      <c r="L88" s="354">
        <v>0</v>
      </c>
      <c r="M88" s="185">
        <v>0</v>
      </c>
      <c r="N88" s="210">
        <v>0</v>
      </c>
      <c r="O88" s="316">
        <v>1.673</v>
      </c>
      <c r="P88" s="211">
        <f t="shared" si="7"/>
        <v>0.15083550417118818</v>
      </c>
      <c r="Q88" s="317">
        <f t="shared" si="8"/>
        <v>28.337835504171185</v>
      </c>
      <c r="R88" s="196"/>
      <c r="S88" s="196"/>
      <c r="T88" s="196"/>
      <c r="U88" s="196"/>
      <c r="V88" s="196"/>
      <c r="W88" s="196">
        <f t="shared" si="9"/>
        <v>28.337835504171185</v>
      </c>
      <c r="X88" s="185">
        <v>26.067</v>
      </c>
      <c r="Y88" s="220">
        <v>10713924.859999999</v>
      </c>
      <c r="Z88" s="220">
        <v>0</v>
      </c>
      <c r="AB88" s="161">
        <f>+D88-'[2]Data FY23-24 Final'!D88</f>
        <v>33345790</v>
      </c>
      <c r="AC88" s="161">
        <f>+E88-'[2]Data FY23-24 Final'!E88</f>
        <v>0</v>
      </c>
      <c r="AD88" s="161">
        <f>+F88-'[2]Data FY23-24 Final'!F88</f>
        <v>33345790</v>
      </c>
      <c r="AE88" s="161">
        <f>+G88-'[2]Data FY23-24 Final'!G88</f>
        <v>0</v>
      </c>
      <c r="AF88" s="186">
        <f>+H88-'[2]Data FY23-24 Final'!H88</f>
        <v>0</v>
      </c>
      <c r="AG88" s="186">
        <f>+I88-'[2]Data FY23-24 Final'!I88</f>
        <v>-4.4999999999999998E-2</v>
      </c>
      <c r="AH88" s="186">
        <f>+J88-'[2]Data FY23-24 Final'!J88</f>
        <v>-0.35700000000000287</v>
      </c>
      <c r="AI88" s="186">
        <f>+K88-'[2]Data FY23-24 Final'!K88</f>
        <v>0.40200000000000002</v>
      </c>
      <c r="AJ88" s="186">
        <f>+L88-'[2]Data FY23-24 Final'!L88</f>
        <v>0</v>
      </c>
      <c r="AK88" s="186">
        <f>+M88-'[2]Data FY23-24 Final'!M88</f>
        <v>0</v>
      </c>
      <c r="AL88" s="186">
        <f>+N88-'[2]Data FY23-24 Final'!N88</f>
        <v>0</v>
      </c>
      <c r="AM88" s="186">
        <f>+O88-'[2]Data FY23-24 Final'!O88</f>
        <v>-0.15300000000000002</v>
      </c>
      <c r="AN88" s="186">
        <f>+P88-'[2]Data FY23-24 Final'!P88</f>
        <v>-1.4164495828811824E-2</v>
      </c>
      <c r="AO88" s="186">
        <f>+Q88-'[2]Data FY23-24 Final'!Q88</f>
        <v>-0.12216449582881594</v>
      </c>
      <c r="AP88" s="186">
        <f>+R88-'[2]Data FY23-24 Final'!R88</f>
        <v>-5.2060000000000004</v>
      </c>
      <c r="AQ88" s="186">
        <f>+S88-'[2]Data FY23-24 Final'!S88</f>
        <v>0</v>
      </c>
      <c r="AR88" s="186">
        <f>+T88-'[2]Data FY23-24 Final'!T88</f>
        <v>0</v>
      </c>
      <c r="AS88" s="186">
        <f>+U88-'[2]Data FY23-24 Final'!U88</f>
        <v>0</v>
      </c>
      <c r="AT88" s="186">
        <f>+V88-'[2]Data FY23-24 Final'!V88</f>
        <v>0</v>
      </c>
      <c r="AU88" s="186">
        <f>+W88-'[2]Data FY23-24 Final'!W88</f>
        <v>-5.3281644958288119</v>
      </c>
      <c r="AV88" s="186">
        <f>+X88-'[2]Data FY23-24 Final'!X88</f>
        <v>0</v>
      </c>
      <c r="AW88" s="161">
        <f>+Y88-'[2]Data FY23-24 Final'!Y88</f>
        <v>198058.70999999903</v>
      </c>
      <c r="AX88" s="161">
        <f>+Z88-'[2]Data FY23-24 Final'!Z88</f>
        <v>-538344.14330000104</v>
      </c>
    </row>
    <row r="89" spans="1:50" s="154" customFormat="1" ht="13" x14ac:dyDescent="0.3">
      <c r="A89" s="187" t="s">
        <v>261</v>
      </c>
      <c r="B89" s="187" t="s">
        <v>262</v>
      </c>
      <c r="C89" s="194" t="s">
        <v>263</v>
      </c>
      <c r="D89" s="349">
        <v>1598579500</v>
      </c>
      <c r="E89" s="349">
        <v>3107860</v>
      </c>
      <c r="F89" s="349">
        <v>1595471640</v>
      </c>
      <c r="G89" s="350">
        <v>131750.25</v>
      </c>
      <c r="H89" s="348">
        <v>12.747999999999999</v>
      </c>
      <c r="I89" s="348">
        <v>2.1470000000000002</v>
      </c>
      <c r="J89" s="210">
        <f>+H89-I89</f>
        <v>10.600999999999999</v>
      </c>
      <c r="K89" s="185">
        <v>0</v>
      </c>
      <c r="L89" s="197">
        <v>0</v>
      </c>
      <c r="M89" s="185">
        <v>1.5309999999999999</v>
      </c>
      <c r="N89" s="210">
        <v>0</v>
      </c>
      <c r="O89" s="316">
        <v>3.2709999999999999</v>
      </c>
      <c r="P89" s="211">
        <f t="shared" si="7"/>
        <v>8.2577619493129945E-2</v>
      </c>
      <c r="Q89" s="317">
        <f t="shared" si="8"/>
        <v>15.485577619493128</v>
      </c>
      <c r="R89" s="196"/>
      <c r="S89" s="196"/>
      <c r="T89" s="196"/>
      <c r="U89" s="196"/>
      <c r="V89" s="196"/>
      <c r="W89" s="196">
        <f t="shared" si="9"/>
        <v>15.485577619493128</v>
      </c>
      <c r="X89" s="185">
        <v>35.492000000000004</v>
      </c>
      <c r="Y89" s="220">
        <v>62311105.909999996</v>
      </c>
      <c r="Z89" s="220">
        <v>44321656.616590001</v>
      </c>
      <c r="AB89" s="161">
        <f>+D89-'[2]Data FY23-24 Final'!D89</f>
        <v>-59726990</v>
      </c>
      <c r="AC89" s="161">
        <f>+E89-'[2]Data FY23-24 Final'!E89</f>
        <v>213150</v>
      </c>
      <c r="AD89" s="161">
        <f>+F89-'[2]Data FY23-24 Final'!F89</f>
        <v>-59940140</v>
      </c>
      <c r="AE89" s="161">
        <f>+G89-'[2]Data FY23-24 Final'!G89</f>
        <v>88327.25</v>
      </c>
      <c r="AF89" s="186">
        <f>+H89-'[2]Data FY23-24 Final'!H89</f>
        <v>0</v>
      </c>
      <c r="AG89" s="186">
        <f>+I89-'[2]Data FY23-24 Final'!I89</f>
        <v>-0.99999999999999956</v>
      </c>
      <c r="AH89" s="186">
        <f>+J89-'[2]Data FY23-24 Final'!J89</f>
        <v>0.99999999999999822</v>
      </c>
      <c r="AI89" s="186">
        <f>+K89-'[2]Data FY23-24 Final'!K89</f>
        <v>0</v>
      </c>
      <c r="AJ89" s="186">
        <f>+L89-'[2]Data FY23-24 Final'!L89</f>
        <v>0</v>
      </c>
      <c r="AK89" s="186">
        <f>+M89-'[2]Data FY23-24 Final'!M89</f>
        <v>-5.2000000000000046E-2</v>
      </c>
      <c r="AL89" s="186">
        <f>+N89-'[2]Data FY23-24 Final'!N89</f>
        <v>0</v>
      </c>
      <c r="AM89" s="186">
        <f>+O89-'[2]Data FY23-24 Final'!O89</f>
        <v>-4.3280000000000003</v>
      </c>
      <c r="AN89" s="186">
        <f>+P89-'[2]Data FY23-24 Final'!P89</f>
        <v>5.6577619493129949E-2</v>
      </c>
      <c r="AO89" s="186">
        <f>+Q89-'[2]Data FY23-24 Final'!Q89</f>
        <v>-3.323422380506873</v>
      </c>
      <c r="AP89" s="186">
        <f>+R89-'[2]Data FY23-24 Final'!R89</f>
        <v>-5.7759999999999998</v>
      </c>
      <c r="AQ89" s="186">
        <f>+S89-'[2]Data FY23-24 Final'!S89</f>
        <v>0</v>
      </c>
      <c r="AR89" s="186">
        <f>+T89-'[2]Data FY23-24 Final'!T89</f>
        <v>0</v>
      </c>
      <c r="AS89" s="186">
        <f>+U89-'[2]Data FY23-24 Final'!U89</f>
        <v>0</v>
      </c>
      <c r="AT89" s="186">
        <f>+V89-'[2]Data FY23-24 Final'!V89</f>
        <v>0</v>
      </c>
      <c r="AU89" s="186">
        <f>+W89-'[2]Data FY23-24 Final'!W89</f>
        <v>-9.0994223805068728</v>
      </c>
      <c r="AV89" s="186">
        <f>+X89-'[2]Data FY23-24 Final'!X89</f>
        <v>0</v>
      </c>
      <c r="AW89" s="161">
        <f>+Y89-'[2]Data FY23-24 Final'!Y89</f>
        <v>8607297.75</v>
      </c>
      <c r="AX89" s="161">
        <f>+Z89-'[2]Data FY23-24 Final'!Z89</f>
        <v>7944116.5963700041</v>
      </c>
    </row>
    <row r="90" spans="1:50" s="154" customFormat="1" ht="13" x14ac:dyDescent="0.3">
      <c r="A90" s="187" t="s">
        <v>264</v>
      </c>
      <c r="B90" s="187" t="s">
        <v>262</v>
      </c>
      <c r="C90" s="194" t="s">
        <v>265</v>
      </c>
      <c r="D90" s="349">
        <v>230996490</v>
      </c>
      <c r="E90" s="349">
        <v>0</v>
      </c>
      <c r="F90" s="349">
        <v>230996490</v>
      </c>
      <c r="G90" s="350">
        <v>4733.4100000000008</v>
      </c>
      <c r="H90" s="348">
        <v>19.373000000000001</v>
      </c>
      <c r="I90" s="348">
        <v>7.1440000000000001</v>
      </c>
      <c r="J90" s="210">
        <f>+H90-I90</f>
        <v>12.229000000000001</v>
      </c>
      <c r="K90" s="185">
        <v>0</v>
      </c>
      <c r="L90" s="197">
        <v>0</v>
      </c>
      <c r="M90" s="185">
        <v>0.122</v>
      </c>
      <c r="N90" s="210">
        <v>0</v>
      </c>
      <c r="O90" s="316">
        <v>7.1680000000000001</v>
      </c>
      <c r="P90" s="211">
        <f t="shared" si="7"/>
        <v>2.0491263741713134E-2</v>
      </c>
      <c r="Q90" s="317">
        <f t="shared" si="8"/>
        <v>19.539491263741716</v>
      </c>
      <c r="R90" s="196"/>
      <c r="S90" s="196"/>
      <c r="T90" s="196"/>
      <c r="U90" s="196"/>
      <c r="V90" s="196"/>
      <c r="W90" s="196">
        <f t="shared" si="9"/>
        <v>19.539491263741716</v>
      </c>
      <c r="X90" s="185">
        <v>51.721000000000004</v>
      </c>
      <c r="Y90" s="220">
        <v>14787952.98</v>
      </c>
      <c r="Z90" s="220">
        <v>11394326.22989</v>
      </c>
      <c r="AB90" s="161">
        <f>+D90-'[2]Data FY23-24 Final'!D90</f>
        <v>-36443970</v>
      </c>
      <c r="AC90" s="161">
        <f>+E90-'[2]Data FY23-24 Final'!E90</f>
        <v>0</v>
      </c>
      <c r="AD90" s="161">
        <f>+F90-'[2]Data FY23-24 Final'!F90</f>
        <v>-36443970</v>
      </c>
      <c r="AE90" s="161">
        <f>+G90-'[2]Data FY23-24 Final'!G90</f>
        <v>873.14000000000078</v>
      </c>
      <c r="AF90" s="186">
        <f>+H90-'[2]Data FY23-24 Final'!H90</f>
        <v>0.23499999999999943</v>
      </c>
      <c r="AG90" s="186">
        <f>+I90-'[2]Data FY23-24 Final'!I90</f>
        <v>-0.76500000000000234</v>
      </c>
      <c r="AH90" s="186">
        <f>+J90-'[2]Data FY23-24 Final'!J90</f>
        <v>1.0000000000000018</v>
      </c>
      <c r="AI90" s="186">
        <f>+K90-'[2]Data FY23-24 Final'!K90</f>
        <v>0</v>
      </c>
      <c r="AJ90" s="186">
        <f>+L90-'[2]Data FY23-24 Final'!L90</f>
        <v>0</v>
      </c>
      <c r="AK90" s="186">
        <f>+M90-'[2]Data FY23-24 Final'!M90</f>
        <v>-7.0000000000000062E-3</v>
      </c>
      <c r="AL90" s="186">
        <f>+N90-'[2]Data FY23-24 Final'!N90</f>
        <v>0</v>
      </c>
      <c r="AM90" s="186">
        <f>+O90-'[2]Data FY23-24 Final'!O90</f>
        <v>-0.56700000000000017</v>
      </c>
      <c r="AN90" s="186">
        <f>+P90-'[2]Data FY23-24 Final'!P90</f>
        <v>6.4912637417131342E-3</v>
      </c>
      <c r="AO90" s="186">
        <f>+Q90-'[2]Data FY23-24 Final'!Q90</f>
        <v>0.43249126374171709</v>
      </c>
      <c r="AP90" s="186">
        <f>+R90-'[2]Data FY23-24 Final'!R90</f>
        <v>-12.47</v>
      </c>
      <c r="AQ90" s="186">
        <f>+S90-'[2]Data FY23-24 Final'!S90</f>
        <v>0</v>
      </c>
      <c r="AR90" s="186">
        <f>+T90-'[2]Data FY23-24 Final'!T90</f>
        <v>0</v>
      </c>
      <c r="AS90" s="186">
        <f>+U90-'[2]Data FY23-24 Final'!U90</f>
        <v>0</v>
      </c>
      <c r="AT90" s="186">
        <f>+V90-'[2]Data FY23-24 Final'!V90</f>
        <v>0</v>
      </c>
      <c r="AU90" s="186">
        <f>+W90-'[2]Data FY23-24 Final'!W90</f>
        <v>-12.037508736258285</v>
      </c>
      <c r="AV90" s="186">
        <f>+X90-'[2]Data FY23-24 Final'!X90</f>
        <v>0</v>
      </c>
      <c r="AW90" s="161">
        <f>+Y90-'[2]Data FY23-24 Final'!Y90</f>
        <v>250008.50999999978</v>
      </c>
      <c r="AX90" s="161">
        <f>+Z90-'[2]Data FY23-24 Final'!Z90</f>
        <v>79678.085229998454</v>
      </c>
    </row>
    <row r="91" spans="1:50" s="154" customFormat="1" ht="13" x14ac:dyDescent="0.3">
      <c r="A91" s="187" t="s">
        <v>266</v>
      </c>
      <c r="B91" s="187" t="s">
        <v>262</v>
      </c>
      <c r="C91" s="194" t="s">
        <v>267</v>
      </c>
      <c r="D91" s="349">
        <v>264777280</v>
      </c>
      <c r="E91" s="349">
        <v>0</v>
      </c>
      <c r="F91" s="349">
        <v>264777280</v>
      </c>
      <c r="G91" s="350">
        <v>7087.81</v>
      </c>
      <c r="H91" s="348">
        <v>7.3310000000000004</v>
      </c>
      <c r="I91" s="348">
        <v>1.0570000000000004</v>
      </c>
      <c r="J91" s="210">
        <f>+H91-I91</f>
        <v>6.274</v>
      </c>
      <c r="K91" s="185">
        <v>0</v>
      </c>
      <c r="L91" s="197">
        <v>0</v>
      </c>
      <c r="M91" s="185">
        <v>0</v>
      </c>
      <c r="N91" s="210">
        <v>0</v>
      </c>
      <c r="O91" s="316">
        <v>3.0829999999999997</v>
      </c>
      <c r="P91" s="211">
        <f t="shared" si="7"/>
        <v>2.6768950870709147E-2</v>
      </c>
      <c r="Q91" s="317">
        <f t="shared" si="8"/>
        <v>9.3837689508707083</v>
      </c>
      <c r="R91" s="196"/>
      <c r="S91" s="196"/>
      <c r="T91" s="196"/>
      <c r="U91" s="196"/>
      <c r="V91" s="196"/>
      <c r="W91" s="196">
        <f t="shared" si="9"/>
        <v>9.3837689508707083</v>
      </c>
      <c r="X91" s="185">
        <v>25.791999999999998</v>
      </c>
      <c r="Y91" s="220">
        <v>9263462.7400000002</v>
      </c>
      <c r="Z91" s="220">
        <v>7320898.2071200004</v>
      </c>
      <c r="AB91" s="161">
        <f>+D91-'[2]Data FY23-24 Final'!D91</f>
        <v>-87198850</v>
      </c>
      <c r="AC91" s="161">
        <f>+E91-'[2]Data FY23-24 Final'!E91</f>
        <v>0</v>
      </c>
      <c r="AD91" s="161">
        <f>+F91-'[2]Data FY23-24 Final'!F91</f>
        <v>-87198850</v>
      </c>
      <c r="AE91" s="161">
        <f>+G91-'[2]Data FY23-24 Final'!G91</f>
        <v>5327.81</v>
      </c>
      <c r="AF91" s="186">
        <f>+H91-'[2]Data FY23-24 Final'!H91</f>
        <v>0</v>
      </c>
      <c r="AG91" s="186">
        <f>+I91-'[2]Data FY23-24 Final'!I91</f>
        <v>-0.99999999999999956</v>
      </c>
      <c r="AH91" s="186">
        <f>+J91-'[2]Data FY23-24 Final'!J91</f>
        <v>1</v>
      </c>
      <c r="AI91" s="186">
        <f>+K91-'[2]Data FY23-24 Final'!K91</f>
        <v>0</v>
      </c>
      <c r="AJ91" s="186">
        <f>+L91-'[2]Data FY23-24 Final'!L91</f>
        <v>0</v>
      </c>
      <c r="AK91" s="186">
        <f>+M91-'[2]Data FY23-24 Final'!M91</f>
        <v>0</v>
      </c>
      <c r="AL91" s="186">
        <f>+N91-'[2]Data FY23-24 Final'!N91</f>
        <v>0</v>
      </c>
      <c r="AM91" s="186">
        <f>+O91-'[2]Data FY23-24 Final'!O91</f>
        <v>-4.2000000000000259E-2</v>
      </c>
      <c r="AN91" s="186">
        <f>+P91-'[2]Data FY23-24 Final'!P91</f>
        <v>2.1768950870709146E-2</v>
      </c>
      <c r="AO91" s="186">
        <f>+Q91-'[2]Data FY23-24 Final'!Q91</f>
        <v>0.97976895087070837</v>
      </c>
      <c r="AP91" s="186">
        <f>+R91-'[2]Data FY23-24 Final'!R91</f>
        <v>-9</v>
      </c>
      <c r="AQ91" s="186">
        <f>+S91-'[2]Data FY23-24 Final'!S91</f>
        <v>0</v>
      </c>
      <c r="AR91" s="186">
        <f>+T91-'[2]Data FY23-24 Final'!T91</f>
        <v>0</v>
      </c>
      <c r="AS91" s="186">
        <f>+U91-'[2]Data FY23-24 Final'!U91</f>
        <v>0</v>
      </c>
      <c r="AT91" s="186">
        <f>+V91-'[2]Data FY23-24 Final'!V91</f>
        <v>0</v>
      </c>
      <c r="AU91" s="186">
        <f>+W91-'[2]Data FY23-24 Final'!W91</f>
        <v>-8.0202310491292916</v>
      </c>
      <c r="AV91" s="186">
        <f>+X91-'[2]Data FY23-24 Final'!X91</f>
        <v>0</v>
      </c>
      <c r="AW91" s="161">
        <f>+Y91-'[2]Data FY23-24 Final'!Y91</f>
        <v>225142.9299999997</v>
      </c>
      <c r="AX91" s="161">
        <f>+Z91-'[2]Data FY23-24 Final'!Z91</f>
        <v>246256.12674000021</v>
      </c>
    </row>
    <row r="92" spans="1:50" s="154" customFormat="1" ht="13" x14ac:dyDescent="0.3">
      <c r="A92" s="187" t="s">
        <v>268</v>
      </c>
      <c r="B92" s="187" t="s">
        <v>269</v>
      </c>
      <c r="C92" s="194" t="s">
        <v>270</v>
      </c>
      <c r="D92" s="349">
        <v>5216398255</v>
      </c>
      <c r="E92" s="349">
        <v>296150894</v>
      </c>
      <c r="F92" s="349">
        <v>4920247361</v>
      </c>
      <c r="G92" s="350">
        <v>1371051.23</v>
      </c>
      <c r="H92" s="348">
        <v>27</v>
      </c>
      <c r="I92" s="348">
        <v>0</v>
      </c>
      <c r="J92" s="210">
        <f>+H92-I92</f>
        <v>27</v>
      </c>
      <c r="K92" s="185">
        <v>0</v>
      </c>
      <c r="L92" s="197">
        <v>0</v>
      </c>
      <c r="M92" s="185">
        <v>0</v>
      </c>
      <c r="N92" s="210">
        <v>0</v>
      </c>
      <c r="O92" s="316">
        <v>6.8519999999999994</v>
      </c>
      <c r="P92" s="211">
        <f t="shared" si="7"/>
        <v>0.27865493935681823</v>
      </c>
      <c r="Q92" s="317">
        <f t="shared" si="8"/>
        <v>34.130654939356816</v>
      </c>
      <c r="R92" s="196"/>
      <c r="S92" s="196"/>
      <c r="T92" s="196"/>
      <c r="U92" s="196"/>
      <c r="V92" s="196"/>
      <c r="W92" s="196">
        <f t="shared" si="9"/>
        <v>34.130654939356816</v>
      </c>
      <c r="X92" s="185">
        <v>63.563999999999993</v>
      </c>
      <c r="Y92" s="220">
        <v>333257683.69999999</v>
      </c>
      <c r="Z92" s="220">
        <v>186823065.2128</v>
      </c>
      <c r="AB92" s="161">
        <f>+D92-'[2]Data FY23-24 Final'!D92</f>
        <v>52098350</v>
      </c>
      <c r="AC92" s="161">
        <f>+E92-'[2]Data FY23-24 Final'!E92</f>
        <v>9077456</v>
      </c>
      <c r="AD92" s="161">
        <f>+F92-'[2]Data FY23-24 Final'!F92</f>
        <v>43020894</v>
      </c>
      <c r="AE92" s="161">
        <f>+G92-'[2]Data FY23-24 Final'!G92</f>
        <v>438110.23</v>
      </c>
      <c r="AF92" s="186">
        <f>+H92-'[2]Data FY23-24 Final'!H92</f>
        <v>0</v>
      </c>
      <c r="AG92" s="186">
        <f>+I92-'[2]Data FY23-24 Final'!I92</f>
        <v>0</v>
      </c>
      <c r="AH92" s="186">
        <f>+J92-'[2]Data FY23-24 Final'!J92</f>
        <v>0</v>
      </c>
      <c r="AI92" s="186">
        <f>+K92-'[2]Data FY23-24 Final'!K92</f>
        <v>0</v>
      </c>
      <c r="AJ92" s="186">
        <f>+L92-'[2]Data FY23-24 Final'!L92</f>
        <v>0</v>
      </c>
      <c r="AK92" s="186">
        <f>+M92-'[2]Data FY23-24 Final'!M92</f>
        <v>0</v>
      </c>
      <c r="AL92" s="186">
        <f>+N92-'[2]Data FY23-24 Final'!N92</f>
        <v>0</v>
      </c>
      <c r="AM92" s="186">
        <f>+O92-'[2]Data FY23-24 Final'!O92</f>
        <v>-6.2540000000000004</v>
      </c>
      <c r="AN92" s="186">
        <f>+P92-'[2]Data FY23-24 Final'!P92</f>
        <v>8.7654939356818229E-2</v>
      </c>
      <c r="AO92" s="186">
        <f>+Q92-'[2]Data FY23-24 Final'!Q92</f>
        <v>-6.1663450606431809</v>
      </c>
      <c r="AP92" s="186">
        <f>+R92-'[2]Data FY23-24 Final'!R92</f>
        <v>-13.137</v>
      </c>
      <c r="AQ92" s="186">
        <f>+S92-'[2]Data FY23-24 Final'!S92</f>
        <v>0</v>
      </c>
      <c r="AR92" s="186">
        <f>+T92-'[2]Data FY23-24 Final'!T92</f>
        <v>0</v>
      </c>
      <c r="AS92" s="186">
        <f>+U92-'[2]Data FY23-24 Final'!U92</f>
        <v>0</v>
      </c>
      <c r="AT92" s="186">
        <f>+V92-'[2]Data FY23-24 Final'!V92</f>
        <v>0</v>
      </c>
      <c r="AU92" s="186">
        <f>+W92-'[2]Data FY23-24 Final'!W92</f>
        <v>-19.303345060643181</v>
      </c>
      <c r="AV92" s="186">
        <f>+X92-'[2]Data FY23-24 Final'!X92</f>
        <v>0</v>
      </c>
      <c r="AW92" s="161">
        <f>+Y92-'[2]Data FY23-24 Final'!Y92</f>
        <v>39973971.373600006</v>
      </c>
      <c r="AX92" s="161">
        <f>+Z92-'[2]Data FY23-24 Final'!Z92</f>
        <v>33335584.855399996</v>
      </c>
    </row>
    <row r="93" spans="1:50" s="154" customFormat="1" ht="13" x14ac:dyDescent="0.3">
      <c r="A93" s="187" t="s">
        <v>271</v>
      </c>
      <c r="B93" s="187" t="s">
        <v>269</v>
      </c>
      <c r="C93" s="194" t="s">
        <v>272</v>
      </c>
      <c r="D93" s="349">
        <v>3355344315</v>
      </c>
      <c r="E93" s="349">
        <v>197362086</v>
      </c>
      <c r="F93" s="349">
        <v>3157982229</v>
      </c>
      <c r="G93" s="350">
        <v>1252098.3700000001</v>
      </c>
      <c r="H93" s="348">
        <v>27</v>
      </c>
      <c r="I93" s="348">
        <v>0.63999999999999702</v>
      </c>
      <c r="J93" s="210">
        <f>+H93-I93</f>
        <v>26.360000000000003</v>
      </c>
      <c r="K93" s="185">
        <v>0</v>
      </c>
      <c r="L93" s="197">
        <v>0</v>
      </c>
      <c r="M93" s="185">
        <v>0</v>
      </c>
      <c r="N93" s="210">
        <v>0</v>
      </c>
      <c r="O93" s="316">
        <v>4.0860000000000003</v>
      </c>
      <c r="P93" s="211">
        <f t="shared" si="7"/>
        <v>0.39648683216196784</v>
      </c>
      <c r="Q93" s="317">
        <f t="shared" si="8"/>
        <v>30.842486832161974</v>
      </c>
      <c r="R93" s="196"/>
      <c r="S93" s="196"/>
      <c r="T93" s="196"/>
      <c r="U93" s="196"/>
      <c r="V93" s="196"/>
      <c r="W93" s="196">
        <f t="shared" si="9"/>
        <v>30.842486832161974</v>
      </c>
      <c r="X93" s="185">
        <v>42.564999999999998</v>
      </c>
      <c r="Y93" s="220">
        <v>150776286.75</v>
      </c>
      <c r="Z93" s="220">
        <v>59125200.619260006</v>
      </c>
      <c r="AB93" s="161">
        <f>+D93-'[2]Data FY23-24 Final'!D93</f>
        <v>-124425331</v>
      </c>
      <c r="AC93" s="161">
        <f>+E93-'[2]Data FY23-24 Final'!E93</f>
        <v>5224953</v>
      </c>
      <c r="AD93" s="161">
        <f>+F93-'[2]Data FY23-24 Final'!F93</f>
        <v>-129650284</v>
      </c>
      <c r="AE93" s="161">
        <f>+G93-'[2]Data FY23-24 Final'!G93</f>
        <v>1045691.5900000001</v>
      </c>
      <c r="AF93" s="186">
        <f>+H93-'[2]Data FY23-24 Final'!H93</f>
        <v>0</v>
      </c>
      <c r="AG93" s="186">
        <f>+I93-'[2]Data FY23-24 Final'!I93</f>
        <v>-1.0000000000000029</v>
      </c>
      <c r="AH93" s="186">
        <f>+J93-'[2]Data FY23-24 Final'!J93</f>
        <v>1.0000000000000036</v>
      </c>
      <c r="AI93" s="186">
        <f>+K93-'[2]Data FY23-24 Final'!K93</f>
        <v>0</v>
      </c>
      <c r="AJ93" s="186">
        <f>+L93-'[2]Data FY23-24 Final'!L93</f>
        <v>0</v>
      </c>
      <c r="AK93" s="186">
        <f>+M93-'[2]Data FY23-24 Final'!M93</f>
        <v>0</v>
      </c>
      <c r="AL93" s="186">
        <f>+N93-'[2]Data FY23-24 Final'!N93</f>
        <v>0</v>
      </c>
      <c r="AM93" s="186">
        <f>+O93-'[2]Data FY23-24 Final'!O93</f>
        <v>-7.427999999999999</v>
      </c>
      <c r="AN93" s="186">
        <f>+P93-'[2]Data FY23-24 Final'!P93</f>
        <v>0.33348683216196784</v>
      </c>
      <c r="AO93" s="186">
        <f>+Q93-'[2]Data FY23-24 Final'!Q93</f>
        <v>-6.0945131678380235</v>
      </c>
      <c r="AP93" s="186">
        <f>+R93-'[2]Data FY23-24 Final'!R93</f>
        <v>-5.8230000000000004</v>
      </c>
      <c r="AQ93" s="186">
        <f>+S93-'[2]Data FY23-24 Final'!S93</f>
        <v>0</v>
      </c>
      <c r="AR93" s="186">
        <f>+T93-'[2]Data FY23-24 Final'!T93</f>
        <v>0</v>
      </c>
      <c r="AS93" s="186">
        <f>+U93-'[2]Data FY23-24 Final'!U93</f>
        <v>0</v>
      </c>
      <c r="AT93" s="186">
        <f>+V93-'[2]Data FY23-24 Final'!V93</f>
        <v>0</v>
      </c>
      <c r="AU93" s="186">
        <f>+W93-'[2]Data FY23-24 Final'!W93</f>
        <v>-11.917513167838024</v>
      </c>
      <c r="AV93" s="186">
        <f>+X93-'[2]Data FY23-24 Final'!X93</f>
        <v>0</v>
      </c>
      <c r="AW93" s="161">
        <f>+Y93-'[2]Data FY23-24 Final'!Y93</f>
        <v>1645599.2599999905</v>
      </c>
      <c r="AX93" s="161">
        <f>+Z93-'[2]Data FY23-24 Final'!Z93</f>
        <v>-1773558.1610600054</v>
      </c>
    </row>
    <row r="94" spans="1:50" s="154" customFormat="1" ht="13" x14ac:dyDescent="0.3">
      <c r="A94" s="187" t="s">
        <v>273</v>
      </c>
      <c r="B94" s="187" t="s">
        <v>269</v>
      </c>
      <c r="C94" s="194" t="s">
        <v>274</v>
      </c>
      <c r="D94" s="349">
        <v>624622040</v>
      </c>
      <c r="E94" s="349">
        <v>0</v>
      </c>
      <c r="F94" s="349">
        <v>624622040</v>
      </c>
      <c r="G94" s="350">
        <v>57306.74</v>
      </c>
      <c r="H94" s="348">
        <v>20.548999999999999</v>
      </c>
      <c r="I94" s="348">
        <v>0</v>
      </c>
      <c r="J94" s="352">
        <f>+H94-I94-K94-L94</f>
        <v>16.422000000000004</v>
      </c>
      <c r="K94" s="353">
        <v>0.64700000000000002</v>
      </c>
      <c r="L94" s="354">
        <v>3.4799999999999986</v>
      </c>
      <c r="M94" s="185">
        <v>0</v>
      </c>
      <c r="N94" s="210">
        <v>0</v>
      </c>
      <c r="O94" s="316">
        <v>2.9319999999999999</v>
      </c>
      <c r="P94" s="211">
        <f t="shared" si="7"/>
        <v>9.1746266270079105E-2</v>
      </c>
      <c r="Q94" s="317">
        <f t="shared" si="8"/>
        <v>23.572746266270077</v>
      </c>
      <c r="R94" s="196"/>
      <c r="S94" s="196"/>
      <c r="T94" s="196"/>
      <c r="U94" s="196"/>
      <c r="V94" s="196"/>
      <c r="W94" s="196">
        <f t="shared" si="9"/>
        <v>23.572746266270077</v>
      </c>
      <c r="X94" s="185">
        <v>16.422000000000001</v>
      </c>
      <c r="Y94" s="220">
        <v>11470103.039999999</v>
      </c>
      <c r="Z94" s="220">
        <v>37.435737998806871</v>
      </c>
      <c r="AB94" s="161">
        <f>+D94-'[2]Data FY23-24 Final'!D94</f>
        <v>969223</v>
      </c>
      <c r="AC94" s="161">
        <f>+E94-'[2]Data FY23-24 Final'!E94</f>
        <v>0</v>
      </c>
      <c r="AD94" s="161">
        <f>+F94-'[2]Data FY23-24 Final'!F94</f>
        <v>969223</v>
      </c>
      <c r="AE94" s="161">
        <f>+G94-'[2]Data FY23-24 Final'!G94</f>
        <v>30850.53</v>
      </c>
      <c r="AF94" s="186">
        <f>+H94-'[2]Data FY23-24 Final'!H94</f>
        <v>0</v>
      </c>
      <c r="AG94" s="186">
        <f>+I94-'[2]Data FY23-24 Final'!I94</f>
        <v>0</v>
      </c>
      <c r="AH94" s="186">
        <f>+J94-'[2]Data FY23-24 Final'!J94</f>
        <v>-1.1009999999999955</v>
      </c>
      <c r="AI94" s="186">
        <f>+K94-'[2]Data FY23-24 Final'!K94</f>
        <v>-0.10299999999999998</v>
      </c>
      <c r="AJ94" s="186">
        <f>+L94-'[2]Data FY23-24 Final'!L94</f>
        <v>1.2039999999999988</v>
      </c>
      <c r="AK94" s="186">
        <f>+M94-'[2]Data FY23-24 Final'!M94</f>
        <v>0</v>
      </c>
      <c r="AL94" s="186">
        <f>+N94-'[2]Data FY23-24 Final'!N94</f>
        <v>0</v>
      </c>
      <c r="AM94" s="186">
        <f>+O94-'[2]Data FY23-24 Final'!O94</f>
        <v>-2.504</v>
      </c>
      <c r="AN94" s="186">
        <f>+P94-'[2]Data FY23-24 Final'!P94</f>
        <v>4.8746266270079108E-2</v>
      </c>
      <c r="AO94" s="186">
        <f>+Q94-'[2]Data FY23-24 Final'!Q94</f>
        <v>-2.4552537337299221</v>
      </c>
      <c r="AP94" s="186">
        <f>+R94-'[2]Data FY23-24 Final'!R94</f>
        <v>-2.7050000000000001</v>
      </c>
      <c r="AQ94" s="186">
        <f>+S94-'[2]Data FY23-24 Final'!S94</f>
        <v>0</v>
      </c>
      <c r="AR94" s="186">
        <f>+T94-'[2]Data FY23-24 Final'!T94</f>
        <v>0</v>
      </c>
      <c r="AS94" s="186">
        <f>+U94-'[2]Data FY23-24 Final'!U94</f>
        <v>0</v>
      </c>
      <c r="AT94" s="186">
        <f>+V94-'[2]Data FY23-24 Final'!V94</f>
        <v>0</v>
      </c>
      <c r="AU94" s="186">
        <f>+W94-'[2]Data FY23-24 Final'!W94</f>
        <v>-5.1602537337299239</v>
      </c>
      <c r="AV94" s="186">
        <f>+X94-'[2]Data FY23-24 Final'!X94</f>
        <v>0</v>
      </c>
      <c r="AW94" s="161">
        <f>+Y94-'[2]Data FY23-24 Final'!Y94</f>
        <v>-149585.22000000067</v>
      </c>
      <c r="AX94" s="161">
        <f>+Z94-'[2]Data FY23-24 Final'!Z94</f>
        <v>37.435211999341846</v>
      </c>
    </row>
    <row r="95" spans="1:50" s="154" customFormat="1" ht="13" x14ac:dyDescent="0.25">
      <c r="A95" s="187" t="s">
        <v>275</v>
      </c>
      <c r="B95" s="187" t="s">
        <v>125</v>
      </c>
      <c r="C95" s="194" t="s">
        <v>276</v>
      </c>
      <c r="D95" s="321">
        <v>150552020</v>
      </c>
      <c r="E95" s="321">
        <v>709821</v>
      </c>
      <c r="F95" s="321">
        <v>149842199</v>
      </c>
      <c r="G95" s="321">
        <v>779.01</v>
      </c>
      <c r="H95" s="348">
        <v>27</v>
      </c>
      <c r="I95" s="348">
        <v>10.573</v>
      </c>
      <c r="J95" s="210">
        <f t="shared" ref="J95:J120" si="12">+H95-I95</f>
        <v>16.427</v>
      </c>
      <c r="K95" s="185">
        <v>0</v>
      </c>
      <c r="L95" s="197">
        <v>0</v>
      </c>
      <c r="M95" s="185">
        <v>0</v>
      </c>
      <c r="N95" s="210">
        <v>0</v>
      </c>
      <c r="O95" s="316">
        <v>0</v>
      </c>
      <c r="P95" s="211">
        <f t="shared" si="7"/>
        <v>5.198869245104978E-3</v>
      </c>
      <c r="Q95" s="317">
        <f t="shared" si="8"/>
        <v>16.432198869245106</v>
      </c>
      <c r="R95" s="196"/>
      <c r="S95" s="196"/>
      <c r="T95" s="196"/>
      <c r="U95" s="196"/>
      <c r="V95" s="196"/>
      <c r="W95" s="196">
        <f t="shared" si="9"/>
        <v>16.432198869245106</v>
      </c>
      <c r="X95" s="185">
        <v>53.576000000000001</v>
      </c>
      <c r="Y95" s="220">
        <v>9821092.6199999992</v>
      </c>
      <c r="Z95" s="220">
        <v>6766122.738601</v>
      </c>
      <c r="AB95" s="161">
        <f>+D95-'[2]Data FY23-24 Final'!D95</f>
        <v>-16002535</v>
      </c>
      <c r="AC95" s="161">
        <f>+E95-'[2]Data FY23-24 Final'!E95</f>
        <v>-718457</v>
      </c>
      <c r="AD95" s="161">
        <f>+F95-'[2]Data FY23-24 Final'!F95</f>
        <v>-15284078</v>
      </c>
      <c r="AE95" s="161">
        <f>+G95-'[2]Data FY23-24 Final'!G95</f>
        <v>779.01</v>
      </c>
      <c r="AF95" s="186">
        <f>+H95-'[2]Data FY23-24 Final'!H95</f>
        <v>0</v>
      </c>
      <c r="AG95" s="186">
        <f>+I95-'[2]Data FY23-24 Final'!I95</f>
        <v>-1</v>
      </c>
      <c r="AH95" s="186">
        <f>+J95-'[2]Data FY23-24 Final'!J95</f>
        <v>1</v>
      </c>
      <c r="AI95" s="186">
        <f>+K95-'[2]Data FY23-24 Final'!K95</f>
        <v>0</v>
      </c>
      <c r="AJ95" s="186">
        <f>+L95-'[2]Data FY23-24 Final'!L95</f>
        <v>0</v>
      </c>
      <c r="AK95" s="186">
        <f>+M95-'[2]Data FY23-24 Final'!M95</f>
        <v>0</v>
      </c>
      <c r="AL95" s="186">
        <f>+N95-'[2]Data FY23-24 Final'!N95</f>
        <v>0</v>
      </c>
      <c r="AM95" s="186">
        <f>+O95-'[2]Data FY23-24 Final'!O95</f>
        <v>0</v>
      </c>
      <c r="AN95" s="186">
        <f>+P95-'[2]Data FY23-24 Final'!P95</f>
        <v>5.198869245104978E-3</v>
      </c>
      <c r="AO95" s="186">
        <f>+Q95-'[2]Data FY23-24 Final'!Q95</f>
        <v>1.0051988692451062</v>
      </c>
      <c r="AP95" s="186">
        <f>+R95-'[2]Data FY23-24 Final'!R95</f>
        <v>-3.4420000000000002</v>
      </c>
      <c r="AQ95" s="186">
        <f>+S95-'[2]Data FY23-24 Final'!S95</f>
        <v>0</v>
      </c>
      <c r="AR95" s="186">
        <f>+T95-'[2]Data FY23-24 Final'!T95</f>
        <v>0</v>
      </c>
      <c r="AS95" s="186">
        <f>+U95-'[2]Data FY23-24 Final'!U95</f>
        <v>0</v>
      </c>
      <c r="AT95" s="186">
        <f>+V95-'[2]Data FY23-24 Final'!V95</f>
        <v>0</v>
      </c>
      <c r="AU95" s="186">
        <f>+W95-'[2]Data FY23-24 Final'!W95</f>
        <v>-2.436801130754894</v>
      </c>
      <c r="AV95" s="186">
        <f>+X95-'[2]Data FY23-24 Final'!X95</f>
        <v>0</v>
      </c>
      <c r="AW95" s="161">
        <f>+Y95-'[2]Data FY23-24 Final'!Y95</f>
        <v>228997.97999999858</v>
      </c>
      <c r="AX95" s="161">
        <f>+Z95-'[2]Data FY23-24 Final'!Z95</f>
        <v>85675.363879999146</v>
      </c>
    </row>
    <row r="96" spans="1:50" s="154" customFormat="1" ht="13" x14ac:dyDescent="0.25">
      <c r="A96" s="187" t="s">
        <v>277</v>
      </c>
      <c r="B96" s="187" t="s">
        <v>125</v>
      </c>
      <c r="C96" s="194" t="s">
        <v>278</v>
      </c>
      <c r="D96" s="321">
        <v>92784920</v>
      </c>
      <c r="E96" s="321">
        <v>0</v>
      </c>
      <c r="F96" s="321">
        <v>92784920</v>
      </c>
      <c r="G96" s="321">
        <v>0</v>
      </c>
      <c r="H96" s="348">
        <v>4.1689999999999996</v>
      </c>
      <c r="I96" s="348">
        <v>0</v>
      </c>
      <c r="J96" s="210">
        <f t="shared" si="12"/>
        <v>4.1689999999999996</v>
      </c>
      <c r="K96" s="185">
        <v>0</v>
      </c>
      <c r="L96" s="197">
        <v>0</v>
      </c>
      <c r="M96" s="185">
        <v>0.45500000000000002</v>
      </c>
      <c r="N96" s="210">
        <v>0</v>
      </c>
      <c r="O96" s="316">
        <v>2.0230000000000001</v>
      </c>
      <c r="P96" s="211">
        <f t="shared" si="7"/>
        <v>0</v>
      </c>
      <c r="Q96" s="317">
        <f t="shared" si="8"/>
        <v>6.6470000000000002</v>
      </c>
      <c r="R96" s="196"/>
      <c r="S96" s="196"/>
      <c r="T96" s="196"/>
      <c r="U96" s="196"/>
      <c r="V96" s="196"/>
      <c r="W96" s="196">
        <f t="shared" si="9"/>
        <v>6.6470000000000002</v>
      </c>
      <c r="X96" s="185">
        <v>21.583000000000002</v>
      </c>
      <c r="Y96" s="220">
        <v>3784717.03</v>
      </c>
      <c r="Z96" s="220">
        <v>3012763.4600389996</v>
      </c>
      <c r="AB96" s="161">
        <f>+D96-'[2]Data FY23-24 Final'!D96</f>
        <v>-77718649</v>
      </c>
      <c r="AC96" s="161">
        <f>+E96-'[2]Data FY23-24 Final'!E96</f>
        <v>0</v>
      </c>
      <c r="AD96" s="161">
        <f>+F96-'[2]Data FY23-24 Final'!F96</f>
        <v>-77718649</v>
      </c>
      <c r="AE96" s="161">
        <f>+G96-'[2]Data FY23-24 Final'!G96</f>
        <v>-156.54</v>
      </c>
      <c r="AF96" s="186">
        <f>+H96-'[2]Data FY23-24 Final'!H96</f>
        <v>0</v>
      </c>
      <c r="AG96" s="186">
        <f>+I96-'[2]Data FY23-24 Final'!I96</f>
        <v>0</v>
      </c>
      <c r="AH96" s="186">
        <f>+J96-'[2]Data FY23-24 Final'!J96</f>
        <v>0</v>
      </c>
      <c r="AI96" s="186">
        <f>+K96-'[2]Data FY23-24 Final'!K96</f>
        <v>0</v>
      </c>
      <c r="AJ96" s="186">
        <f>+L96-'[2]Data FY23-24 Final'!L96</f>
        <v>0</v>
      </c>
      <c r="AK96" s="186">
        <f>+M96-'[2]Data FY23-24 Final'!M96</f>
        <v>-7.0000000000000062E-3</v>
      </c>
      <c r="AL96" s="186">
        <f>+N96-'[2]Data FY23-24 Final'!N96</f>
        <v>0</v>
      </c>
      <c r="AM96" s="186">
        <f>+O96-'[2]Data FY23-24 Final'!O96</f>
        <v>-2.9999999999999805E-2</v>
      </c>
      <c r="AN96" s="186">
        <f>+P96-'[2]Data FY23-24 Final'!P96</f>
        <v>-1E-3</v>
      </c>
      <c r="AO96" s="186">
        <f>+Q96-'[2]Data FY23-24 Final'!Q96</f>
        <v>-3.7999999999999368E-2</v>
      </c>
      <c r="AP96" s="186">
        <f>+R96-'[2]Data FY23-24 Final'!R96</f>
        <v>-5.5129999999999999</v>
      </c>
      <c r="AQ96" s="186">
        <f>+S96-'[2]Data FY23-24 Final'!S96</f>
        <v>-0.82099999999999995</v>
      </c>
      <c r="AR96" s="186">
        <f>+T96-'[2]Data FY23-24 Final'!T96</f>
        <v>0</v>
      </c>
      <c r="AS96" s="186">
        <f>+U96-'[2]Data FY23-24 Final'!U96</f>
        <v>0</v>
      </c>
      <c r="AT96" s="186">
        <f>+V96-'[2]Data FY23-24 Final'!V96</f>
        <v>0</v>
      </c>
      <c r="AU96" s="186">
        <f>+W96-'[2]Data FY23-24 Final'!W96</f>
        <v>-6.3719999999999999</v>
      </c>
      <c r="AV96" s="186">
        <f>+X96-'[2]Data FY23-24 Final'!X96</f>
        <v>0</v>
      </c>
      <c r="AW96" s="161">
        <f>+Y96-'[2]Data FY23-24 Final'!Y96</f>
        <v>83768.229999999981</v>
      </c>
      <c r="AX96" s="161">
        <f>+Z96-'[2]Data FY23-24 Final'!Z96</f>
        <v>98509.559200000018</v>
      </c>
    </row>
    <row r="97" spans="1:50" s="154" customFormat="1" ht="13" x14ac:dyDescent="0.25">
      <c r="A97" s="187" t="s">
        <v>279</v>
      </c>
      <c r="B97" s="187" t="s">
        <v>125</v>
      </c>
      <c r="C97" s="194" t="s">
        <v>280</v>
      </c>
      <c r="D97" s="321">
        <v>54964390</v>
      </c>
      <c r="E97" s="321">
        <v>87731</v>
      </c>
      <c r="F97" s="321">
        <v>54876659</v>
      </c>
      <c r="G97" s="321">
        <v>1558.47</v>
      </c>
      <c r="H97" s="348">
        <v>27</v>
      </c>
      <c r="I97" s="348">
        <v>0.34199999999999875</v>
      </c>
      <c r="J97" s="210">
        <f t="shared" si="12"/>
        <v>26.658000000000001</v>
      </c>
      <c r="K97" s="185">
        <v>0</v>
      </c>
      <c r="L97" s="197">
        <v>0</v>
      </c>
      <c r="M97" s="185">
        <v>0</v>
      </c>
      <c r="N97" s="210">
        <v>0</v>
      </c>
      <c r="O97" s="316">
        <v>0</v>
      </c>
      <c r="P97" s="211">
        <f t="shared" si="7"/>
        <v>2.83995058809976E-2</v>
      </c>
      <c r="Q97" s="317">
        <f t="shared" si="8"/>
        <v>26.686399505880999</v>
      </c>
      <c r="R97" s="196"/>
      <c r="S97" s="196"/>
      <c r="T97" s="196"/>
      <c r="U97" s="196"/>
      <c r="V97" s="196"/>
      <c r="W97" s="196">
        <f t="shared" si="9"/>
        <v>26.686399505880999</v>
      </c>
      <c r="X97" s="185">
        <v>72.866</v>
      </c>
      <c r="Y97" s="220">
        <v>4388958.38</v>
      </c>
      <c r="Z97" s="220">
        <v>2696745.8529360001</v>
      </c>
      <c r="AB97" s="161">
        <f>+D97-'[2]Data FY23-24 Final'!D97</f>
        <v>-938367</v>
      </c>
      <c r="AC97" s="161">
        <f>+E97-'[2]Data FY23-24 Final'!E97</f>
        <v>-88798</v>
      </c>
      <c r="AD97" s="161">
        <f>+F97-'[2]Data FY23-24 Final'!F97</f>
        <v>-849569</v>
      </c>
      <c r="AE97" s="161">
        <f>+G97-'[2]Data FY23-24 Final'!G97</f>
        <v>1558.47</v>
      </c>
      <c r="AF97" s="186">
        <f>+H97-'[2]Data FY23-24 Final'!H97</f>
        <v>0</v>
      </c>
      <c r="AG97" s="186">
        <f>+I97-'[2]Data FY23-24 Final'!I97</f>
        <v>-1.0000000000000013</v>
      </c>
      <c r="AH97" s="186">
        <f>+J97-'[2]Data FY23-24 Final'!J97</f>
        <v>1</v>
      </c>
      <c r="AI97" s="186">
        <f>+K97-'[2]Data FY23-24 Final'!K97</f>
        <v>0</v>
      </c>
      <c r="AJ97" s="186">
        <f>+L97-'[2]Data FY23-24 Final'!L97</f>
        <v>0</v>
      </c>
      <c r="AK97" s="186">
        <f>+M97-'[2]Data FY23-24 Final'!M97</f>
        <v>0</v>
      </c>
      <c r="AL97" s="186">
        <f>+N97-'[2]Data FY23-24 Final'!N97</f>
        <v>0</v>
      </c>
      <c r="AM97" s="186">
        <f>+O97-'[2]Data FY23-24 Final'!O97</f>
        <v>0</v>
      </c>
      <c r="AN97" s="186">
        <f>+P97-'[2]Data FY23-24 Final'!P97</f>
        <v>2.83995058809976E-2</v>
      </c>
      <c r="AO97" s="186">
        <f>+Q97-'[2]Data FY23-24 Final'!Q97</f>
        <v>1.0283995058809978</v>
      </c>
      <c r="AP97" s="186">
        <f>+R97-'[2]Data FY23-24 Final'!R97</f>
        <v>-4.5</v>
      </c>
      <c r="AQ97" s="186">
        <f>+S97-'[2]Data FY23-24 Final'!S97</f>
        <v>0</v>
      </c>
      <c r="AR97" s="186">
        <f>+T97-'[2]Data FY23-24 Final'!T97</f>
        <v>0</v>
      </c>
      <c r="AS97" s="186">
        <f>+U97-'[2]Data FY23-24 Final'!U97</f>
        <v>0</v>
      </c>
      <c r="AT97" s="186">
        <f>+V97-'[2]Data FY23-24 Final'!V97</f>
        <v>0</v>
      </c>
      <c r="AU97" s="186">
        <f>+W97-'[2]Data FY23-24 Final'!W97</f>
        <v>-3.4716004941190022</v>
      </c>
      <c r="AV97" s="186">
        <f>+X97-'[2]Data FY23-24 Final'!X97</f>
        <v>0</v>
      </c>
      <c r="AW97" s="161">
        <f>+Y97-'[2]Data FY23-24 Final'!Y97</f>
        <v>65776.179999999702</v>
      </c>
      <c r="AX97" s="161">
        <f>+Z97-'[2]Data FY23-24 Final'!Z97</f>
        <v>37362.770959999878</v>
      </c>
    </row>
    <row r="98" spans="1:50" s="154" customFormat="1" ht="13" x14ac:dyDescent="0.25">
      <c r="A98" s="187" t="s">
        <v>281</v>
      </c>
      <c r="B98" s="187" t="s">
        <v>125</v>
      </c>
      <c r="C98" s="194" t="s">
        <v>282</v>
      </c>
      <c r="D98" s="321">
        <v>48382040</v>
      </c>
      <c r="E98" s="321">
        <v>0</v>
      </c>
      <c r="F98" s="321">
        <v>48382040</v>
      </c>
      <c r="G98" s="321">
        <v>45.01</v>
      </c>
      <c r="H98" s="348">
        <v>23.288</v>
      </c>
      <c r="I98" s="348">
        <v>10.768000000000001</v>
      </c>
      <c r="J98" s="210">
        <f t="shared" si="12"/>
        <v>12.52</v>
      </c>
      <c r="K98" s="185">
        <v>0</v>
      </c>
      <c r="L98" s="197">
        <v>0</v>
      </c>
      <c r="M98" s="185">
        <v>0.45800000000000002</v>
      </c>
      <c r="N98" s="210">
        <v>0</v>
      </c>
      <c r="O98" s="316">
        <v>0</v>
      </c>
      <c r="P98" s="211">
        <f t="shared" si="7"/>
        <v>9.3030388962515843E-4</v>
      </c>
      <c r="Q98" s="317">
        <f t="shared" si="8"/>
        <v>12.978930303889625</v>
      </c>
      <c r="R98" s="196"/>
      <c r="S98" s="196"/>
      <c r="T98" s="196"/>
      <c r="U98" s="196"/>
      <c r="V98" s="196"/>
      <c r="W98" s="196">
        <f t="shared" si="9"/>
        <v>12.978930303889625</v>
      </c>
      <c r="X98" s="185">
        <v>32.253</v>
      </c>
      <c r="Y98" s="220">
        <v>2171867.46</v>
      </c>
      <c r="Z98" s="220">
        <v>1342490.6879599998</v>
      </c>
      <c r="AB98" s="161">
        <f>+D98-'[2]Data FY23-24 Final'!D98</f>
        <v>-14095917</v>
      </c>
      <c r="AC98" s="161">
        <f>+E98-'[2]Data FY23-24 Final'!E98</f>
        <v>0</v>
      </c>
      <c r="AD98" s="161">
        <f>+F98-'[2]Data FY23-24 Final'!F98</f>
        <v>-14095917</v>
      </c>
      <c r="AE98" s="161">
        <f>+G98-'[2]Data FY23-24 Final'!G98</f>
        <v>45.01</v>
      </c>
      <c r="AF98" s="186">
        <f>+H98-'[2]Data FY23-24 Final'!H98</f>
        <v>0</v>
      </c>
      <c r="AG98" s="186">
        <f>+I98-'[2]Data FY23-24 Final'!I98</f>
        <v>-1</v>
      </c>
      <c r="AH98" s="186">
        <f>+J98-'[2]Data FY23-24 Final'!J98</f>
        <v>1</v>
      </c>
      <c r="AI98" s="186">
        <f>+K98-'[2]Data FY23-24 Final'!K98</f>
        <v>0</v>
      </c>
      <c r="AJ98" s="186">
        <f>+L98-'[2]Data FY23-24 Final'!L98</f>
        <v>0</v>
      </c>
      <c r="AK98" s="186">
        <f>+M98-'[2]Data FY23-24 Final'!M98</f>
        <v>-1.5999999999999959E-2</v>
      </c>
      <c r="AL98" s="186">
        <f>+N98-'[2]Data FY23-24 Final'!N98</f>
        <v>0</v>
      </c>
      <c r="AM98" s="186">
        <f>+O98-'[2]Data FY23-24 Final'!O98</f>
        <v>0</v>
      </c>
      <c r="AN98" s="186">
        <f>+P98-'[2]Data FY23-24 Final'!P98</f>
        <v>9.3030388962515843E-4</v>
      </c>
      <c r="AO98" s="186">
        <f>+Q98-'[2]Data FY23-24 Final'!Q98</f>
        <v>0.98493030388962488</v>
      </c>
      <c r="AP98" s="186">
        <f>+R98-'[2]Data FY23-24 Final'!R98</f>
        <v>0</v>
      </c>
      <c r="AQ98" s="186">
        <f>+S98-'[2]Data FY23-24 Final'!S98</f>
        <v>0</v>
      </c>
      <c r="AR98" s="186">
        <f>+T98-'[2]Data FY23-24 Final'!T98</f>
        <v>0</v>
      </c>
      <c r="AS98" s="186">
        <f>+U98-'[2]Data FY23-24 Final'!U98</f>
        <v>0</v>
      </c>
      <c r="AT98" s="186">
        <f>+V98-'[2]Data FY23-24 Final'!V98</f>
        <v>0</v>
      </c>
      <c r="AU98" s="186">
        <f>+W98-'[2]Data FY23-24 Final'!W98</f>
        <v>0.98493030388962488</v>
      </c>
      <c r="AV98" s="186">
        <f>+X98-'[2]Data FY23-24 Final'!X98</f>
        <v>0</v>
      </c>
      <c r="AW98" s="161">
        <f>+Y98-'[2]Data FY23-24 Final'!Y98</f>
        <v>66948.790000000037</v>
      </c>
      <c r="AX98" s="161">
        <f>+Z98-'[2]Data FY23-24 Final'!Z98</f>
        <v>38342.542599999812</v>
      </c>
    </row>
    <row r="99" spans="1:50" s="154" customFormat="1" ht="13" x14ac:dyDescent="0.25">
      <c r="A99" s="187" t="s">
        <v>283</v>
      </c>
      <c r="B99" s="187" t="s">
        <v>125</v>
      </c>
      <c r="C99" s="194" t="s">
        <v>284</v>
      </c>
      <c r="D99" s="321">
        <v>19163350</v>
      </c>
      <c r="E99" s="321">
        <v>0</v>
      </c>
      <c r="F99" s="321">
        <v>19163350</v>
      </c>
      <c r="G99" s="321">
        <v>0</v>
      </c>
      <c r="H99" s="348">
        <v>21.616</v>
      </c>
      <c r="I99" s="348">
        <v>-2.0000000000000036</v>
      </c>
      <c r="J99" s="210">
        <f t="shared" si="12"/>
        <v>23.616000000000003</v>
      </c>
      <c r="K99" s="185">
        <v>0</v>
      </c>
      <c r="L99" s="197">
        <v>0</v>
      </c>
      <c r="M99" s="185">
        <v>0</v>
      </c>
      <c r="N99" s="210">
        <v>0</v>
      </c>
      <c r="O99" s="316">
        <v>10.385</v>
      </c>
      <c r="P99" s="211">
        <f t="shared" si="7"/>
        <v>0</v>
      </c>
      <c r="Q99" s="317">
        <f t="shared" si="8"/>
        <v>34.001000000000005</v>
      </c>
      <c r="R99" s="196"/>
      <c r="S99" s="196"/>
      <c r="T99" s="196"/>
      <c r="U99" s="196"/>
      <c r="V99" s="196"/>
      <c r="W99" s="196">
        <f t="shared" si="9"/>
        <v>34.001000000000005</v>
      </c>
      <c r="X99" s="185">
        <v>230.43199999999999</v>
      </c>
      <c r="Y99" s="220">
        <v>4598394.5199999996</v>
      </c>
      <c r="Z99" s="220">
        <v>4102437.1531559993</v>
      </c>
      <c r="AB99" s="161">
        <f>+D99-'[2]Data FY23-24 Final'!D99</f>
        <v>-436544</v>
      </c>
      <c r="AC99" s="161">
        <f>+E99-'[2]Data FY23-24 Final'!E99</f>
        <v>0</v>
      </c>
      <c r="AD99" s="161">
        <f>+F99-'[2]Data FY23-24 Final'!F99</f>
        <v>-436544</v>
      </c>
      <c r="AE99" s="161">
        <f>+G99-'[2]Data FY23-24 Final'!G99</f>
        <v>0</v>
      </c>
      <c r="AF99" s="186">
        <f>+H99-'[2]Data FY23-24 Final'!H99</f>
        <v>-5.3840000000000003</v>
      </c>
      <c r="AG99" s="186">
        <f>+I99-'[2]Data FY23-24 Final'!I99</f>
        <v>-6.3840000000000039</v>
      </c>
      <c r="AH99" s="186">
        <f>+J99-'[2]Data FY23-24 Final'!J99</f>
        <v>1.0000000000000036</v>
      </c>
      <c r="AI99" s="186">
        <f>+K99-'[2]Data FY23-24 Final'!K99</f>
        <v>0</v>
      </c>
      <c r="AJ99" s="186">
        <f>+L99-'[2]Data FY23-24 Final'!L99</f>
        <v>0</v>
      </c>
      <c r="AK99" s="186">
        <f>+M99-'[2]Data FY23-24 Final'!M99</f>
        <v>0</v>
      </c>
      <c r="AL99" s="186">
        <f>+N99-'[2]Data FY23-24 Final'!N99</f>
        <v>0</v>
      </c>
      <c r="AM99" s="186">
        <f>+O99-'[2]Data FY23-24 Final'!O99</f>
        <v>3.7450000000000001</v>
      </c>
      <c r="AN99" s="186">
        <f>+P99-'[2]Data FY23-24 Final'!P99</f>
        <v>0</v>
      </c>
      <c r="AO99" s="186">
        <f>+Q99-'[2]Data FY23-24 Final'!Q99</f>
        <v>4.7450000000000045</v>
      </c>
      <c r="AP99" s="186">
        <f>+R99-'[2]Data FY23-24 Final'!R99</f>
        <v>0</v>
      </c>
      <c r="AQ99" s="186">
        <f>+S99-'[2]Data FY23-24 Final'!S99</f>
        <v>0</v>
      </c>
      <c r="AR99" s="186">
        <f>+T99-'[2]Data FY23-24 Final'!T99</f>
        <v>0</v>
      </c>
      <c r="AS99" s="186">
        <f>+U99-'[2]Data FY23-24 Final'!U99</f>
        <v>0</v>
      </c>
      <c r="AT99" s="186">
        <f>+V99-'[2]Data FY23-24 Final'!V99</f>
        <v>0</v>
      </c>
      <c r="AU99" s="186">
        <f>+W99-'[2]Data FY23-24 Final'!W99</f>
        <v>4.7450000000000045</v>
      </c>
      <c r="AV99" s="186">
        <f>+X99-'[2]Data FY23-24 Final'!X99</f>
        <v>0</v>
      </c>
      <c r="AW99" s="161">
        <f>+Y99-'[2]Data FY23-24 Final'!Y99</f>
        <v>392112.31999999937</v>
      </c>
      <c r="AX99" s="161">
        <f>+Z99-'[2]Data FY23-24 Final'!Z99</f>
        <v>394435.66585999867</v>
      </c>
    </row>
    <row r="100" spans="1:50" s="154" customFormat="1" ht="13" x14ac:dyDescent="0.25">
      <c r="A100" s="187" t="s">
        <v>285</v>
      </c>
      <c r="B100" s="187" t="s">
        <v>125</v>
      </c>
      <c r="C100" s="194" t="s">
        <v>286</v>
      </c>
      <c r="D100" s="321">
        <v>27525600</v>
      </c>
      <c r="E100" s="321">
        <v>0</v>
      </c>
      <c r="F100" s="321">
        <v>27525600</v>
      </c>
      <c r="G100" s="321">
        <v>0</v>
      </c>
      <c r="H100" s="348">
        <v>27</v>
      </c>
      <c r="I100" s="348">
        <v>12.021000000000001</v>
      </c>
      <c r="J100" s="210">
        <f t="shared" si="12"/>
        <v>14.978999999999999</v>
      </c>
      <c r="K100" s="185">
        <v>0</v>
      </c>
      <c r="L100" s="197">
        <v>0</v>
      </c>
      <c r="M100" s="185">
        <v>1.1260000000000001</v>
      </c>
      <c r="N100" s="210">
        <v>0</v>
      </c>
      <c r="O100" s="316">
        <v>6.8209999999999997</v>
      </c>
      <c r="P100" s="211">
        <f t="shared" si="7"/>
        <v>0</v>
      </c>
      <c r="Q100" s="317">
        <f t="shared" si="8"/>
        <v>22.926000000000002</v>
      </c>
      <c r="R100" s="196"/>
      <c r="S100" s="196"/>
      <c r="T100" s="196"/>
      <c r="U100" s="196"/>
      <c r="V100" s="196"/>
      <c r="W100" s="196">
        <f t="shared" si="9"/>
        <v>22.926000000000002</v>
      </c>
      <c r="X100" s="185">
        <v>37.186</v>
      </c>
      <c r="Y100" s="220">
        <v>994814.69</v>
      </c>
      <c r="Z100" s="220">
        <v>583990.29311799991</v>
      </c>
      <c r="AB100" s="161">
        <f>+D100-'[2]Data FY23-24 Final'!D100</f>
        <v>2802652</v>
      </c>
      <c r="AC100" s="161">
        <f>+E100-'[2]Data FY23-24 Final'!E100</f>
        <v>0</v>
      </c>
      <c r="AD100" s="161">
        <f>+F100-'[2]Data FY23-24 Final'!F100</f>
        <v>2802652</v>
      </c>
      <c r="AE100" s="161">
        <f>+G100-'[2]Data FY23-24 Final'!G100</f>
        <v>0</v>
      </c>
      <c r="AF100" s="186">
        <f>+H100-'[2]Data FY23-24 Final'!H100</f>
        <v>0</v>
      </c>
      <c r="AG100" s="186">
        <f>+I100-'[2]Data FY23-24 Final'!I100</f>
        <v>-1</v>
      </c>
      <c r="AH100" s="186">
        <f>+J100-'[2]Data FY23-24 Final'!J100</f>
        <v>1</v>
      </c>
      <c r="AI100" s="186">
        <f>+K100-'[2]Data FY23-24 Final'!K100</f>
        <v>0</v>
      </c>
      <c r="AJ100" s="186">
        <f>+L100-'[2]Data FY23-24 Final'!L100</f>
        <v>0</v>
      </c>
      <c r="AK100" s="186">
        <f>+M100-'[2]Data FY23-24 Final'!M100</f>
        <v>-1.9999999999999796E-2</v>
      </c>
      <c r="AL100" s="186">
        <f>+N100-'[2]Data FY23-24 Final'!N100</f>
        <v>0</v>
      </c>
      <c r="AM100" s="186">
        <f>+O100-'[2]Data FY23-24 Final'!O100</f>
        <v>-0.12199999999999989</v>
      </c>
      <c r="AN100" s="186">
        <f>+P100-'[2]Data FY23-24 Final'!P100</f>
        <v>0</v>
      </c>
      <c r="AO100" s="186">
        <f>+Q100-'[2]Data FY23-24 Final'!Q100</f>
        <v>0.85800000000000054</v>
      </c>
      <c r="AP100" s="186">
        <f>+R100-'[2]Data FY23-24 Final'!R100</f>
        <v>-9.3030200000000001</v>
      </c>
      <c r="AQ100" s="186">
        <f>+S100-'[2]Data FY23-24 Final'!S100</f>
        <v>0</v>
      </c>
      <c r="AR100" s="186">
        <f>+T100-'[2]Data FY23-24 Final'!T100</f>
        <v>0</v>
      </c>
      <c r="AS100" s="186">
        <f>+U100-'[2]Data FY23-24 Final'!U100</f>
        <v>0</v>
      </c>
      <c r="AT100" s="186">
        <f>+V100-'[2]Data FY23-24 Final'!V100</f>
        <v>0</v>
      </c>
      <c r="AU100" s="186">
        <f>+W100-'[2]Data FY23-24 Final'!W100</f>
        <v>-8.4450199999999995</v>
      </c>
      <c r="AV100" s="186">
        <f>+X100-'[2]Data FY23-24 Final'!X100</f>
        <v>0</v>
      </c>
      <c r="AW100" s="161">
        <f>+Y100-'[2]Data FY23-24 Final'!Y100</f>
        <v>13682.679999999935</v>
      </c>
      <c r="AX100" s="161">
        <f>+Z100-'[2]Data FY23-24 Final'!Z100</f>
        <v>-6428.2167899999768</v>
      </c>
    </row>
    <row r="101" spans="1:50" s="154" customFormat="1" ht="13" x14ac:dyDescent="0.3">
      <c r="A101" s="187" t="s">
        <v>287</v>
      </c>
      <c r="B101" s="187" t="s">
        <v>288</v>
      </c>
      <c r="C101" s="194" t="s">
        <v>289</v>
      </c>
      <c r="D101" s="349">
        <v>68196749</v>
      </c>
      <c r="E101" s="349">
        <v>0</v>
      </c>
      <c r="F101" s="349">
        <v>68196749</v>
      </c>
      <c r="G101" s="350">
        <v>453.74</v>
      </c>
      <c r="H101" s="348">
        <v>17.379000000000001</v>
      </c>
      <c r="I101" s="348">
        <v>0</v>
      </c>
      <c r="J101" s="210">
        <f t="shared" si="12"/>
        <v>17.379000000000001</v>
      </c>
      <c r="K101" s="185">
        <v>0</v>
      </c>
      <c r="L101" s="197">
        <v>0</v>
      </c>
      <c r="M101" s="185">
        <v>0</v>
      </c>
      <c r="N101" s="210">
        <v>0</v>
      </c>
      <c r="O101" s="316">
        <v>0</v>
      </c>
      <c r="P101" s="211">
        <f t="shared" si="7"/>
        <v>6.6533963371186514E-3</v>
      </c>
      <c r="Q101" s="317">
        <f t="shared" si="8"/>
        <v>17.385653396337119</v>
      </c>
      <c r="R101" s="196"/>
      <c r="S101" s="196"/>
      <c r="T101" s="196"/>
      <c r="U101" s="196"/>
      <c r="V101" s="196"/>
      <c r="W101" s="196">
        <f t="shared" si="9"/>
        <v>17.385653396337119</v>
      </c>
      <c r="X101" s="185">
        <v>41.472000000000001</v>
      </c>
      <c r="Y101" s="220">
        <v>3316565.9</v>
      </c>
      <c r="Z101" s="220">
        <v>1855906.913038</v>
      </c>
      <c r="AB101" s="161">
        <f>+D101-'[2]Data FY23-24 Final'!D101</f>
        <v>-7264830</v>
      </c>
      <c r="AC101" s="161">
        <f>+E101-'[2]Data FY23-24 Final'!E101</f>
        <v>0</v>
      </c>
      <c r="AD101" s="161">
        <f>+F101-'[2]Data FY23-24 Final'!F101</f>
        <v>-7264830</v>
      </c>
      <c r="AE101" s="161">
        <f>+G101-'[2]Data FY23-24 Final'!G101</f>
        <v>-1995.2</v>
      </c>
      <c r="AF101" s="186">
        <f>+H101-'[2]Data FY23-24 Final'!H101</f>
        <v>0</v>
      </c>
      <c r="AG101" s="186">
        <f>+I101-'[2]Data FY23-24 Final'!I101</f>
        <v>0</v>
      </c>
      <c r="AH101" s="186">
        <f>+J101-'[2]Data FY23-24 Final'!J101</f>
        <v>0</v>
      </c>
      <c r="AI101" s="186">
        <f>+K101-'[2]Data FY23-24 Final'!K101</f>
        <v>0</v>
      </c>
      <c r="AJ101" s="186">
        <f>+L101-'[2]Data FY23-24 Final'!L101</f>
        <v>0</v>
      </c>
      <c r="AK101" s="186">
        <f>+M101-'[2]Data FY23-24 Final'!M101</f>
        <v>0</v>
      </c>
      <c r="AL101" s="186">
        <f>+N101-'[2]Data FY23-24 Final'!N101</f>
        <v>0</v>
      </c>
      <c r="AM101" s="186">
        <f>+O101-'[2]Data FY23-24 Final'!O101</f>
        <v>0</v>
      </c>
      <c r="AN101" s="186">
        <f>+P101-'[2]Data FY23-24 Final'!P101</f>
        <v>6.6533963371186514E-3</v>
      </c>
      <c r="AO101" s="186">
        <f>+Q101-'[2]Data FY23-24 Final'!Q101</f>
        <v>6.6533963371178118E-3</v>
      </c>
      <c r="AP101" s="186">
        <f>+R101-'[2]Data FY23-24 Final'!R101</f>
        <v>-6.5860000000000003</v>
      </c>
      <c r="AQ101" s="186">
        <f>+S101-'[2]Data FY23-24 Final'!S101</f>
        <v>0</v>
      </c>
      <c r="AR101" s="186">
        <f>+T101-'[2]Data FY23-24 Final'!T101</f>
        <v>0</v>
      </c>
      <c r="AS101" s="186">
        <f>+U101-'[2]Data FY23-24 Final'!U101</f>
        <v>0</v>
      </c>
      <c r="AT101" s="186">
        <f>+V101-'[2]Data FY23-24 Final'!V101</f>
        <v>0</v>
      </c>
      <c r="AU101" s="186">
        <f>+W101-'[2]Data FY23-24 Final'!W101</f>
        <v>-6.5793466036628807</v>
      </c>
      <c r="AV101" s="186">
        <f>+X101-'[2]Data FY23-24 Final'!X101</f>
        <v>0</v>
      </c>
      <c r="AW101" s="161">
        <f>+Y101-'[2]Data FY23-24 Final'!Y101</f>
        <v>-122505.81000000006</v>
      </c>
      <c r="AX101" s="161">
        <f>+Z101-'[2]Data FY23-24 Final'!Z101</f>
        <v>-145301.17552100006</v>
      </c>
    </row>
    <row r="102" spans="1:50" s="154" customFormat="1" ht="13" x14ac:dyDescent="0.3">
      <c r="A102" s="187" t="s">
        <v>290</v>
      </c>
      <c r="B102" s="187" t="s">
        <v>288</v>
      </c>
      <c r="C102" s="194" t="s">
        <v>291</v>
      </c>
      <c r="D102" s="349">
        <v>77715100</v>
      </c>
      <c r="E102" s="349">
        <v>0</v>
      </c>
      <c r="F102" s="349">
        <v>77715100</v>
      </c>
      <c r="G102" s="350">
        <v>2280.1799999999998</v>
      </c>
      <c r="H102" s="348">
        <v>27</v>
      </c>
      <c r="I102" s="348">
        <v>1.1760000000000019</v>
      </c>
      <c r="J102" s="210">
        <f t="shared" si="12"/>
        <v>25.823999999999998</v>
      </c>
      <c r="K102" s="185">
        <v>0</v>
      </c>
      <c r="L102" s="197">
        <v>0</v>
      </c>
      <c r="M102" s="185">
        <v>0</v>
      </c>
      <c r="N102" s="210">
        <v>0</v>
      </c>
      <c r="O102" s="316">
        <v>0</v>
      </c>
      <c r="P102" s="211">
        <f t="shared" si="7"/>
        <v>2.9340244045237024E-2</v>
      </c>
      <c r="Q102" s="317">
        <f t="shared" si="8"/>
        <v>25.853340244045235</v>
      </c>
      <c r="R102" s="196"/>
      <c r="S102" s="196"/>
      <c r="T102" s="196"/>
      <c r="U102" s="196"/>
      <c r="V102" s="196"/>
      <c r="W102" s="196">
        <f t="shared" si="9"/>
        <v>25.853340244045235</v>
      </c>
      <c r="X102" s="185">
        <v>61.860999999999997</v>
      </c>
      <c r="Y102" s="220">
        <v>5530842.25</v>
      </c>
      <c r="Z102" s="220">
        <v>3174630.87304</v>
      </c>
      <c r="AB102" s="161">
        <f>+D102-'[2]Data FY23-24 Final'!D102</f>
        <v>-5606576</v>
      </c>
      <c r="AC102" s="161">
        <f>+E102-'[2]Data FY23-24 Final'!E102</f>
        <v>0</v>
      </c>
      <c r="AD102" s="161">
        <f>+F102-'[2]Data FY23-24 Final'!F102</f>
        <v>-5606576</v>
      </c>
      <c r="AE102" s="161">
        <f>+G102-'[2]Data FY23-24 Final'!G102</f>
        <v>-1956.0400000000004</v>
      </c>
      <c r="AF102" s="186">
        <f>+H102-'[2]Data FY23-24 Final'!H102</f>
        <v>0</v>
      </c>
      <c r="AG102" s="186">
        <f>+I102-'[2]Data FY23-24 Final'!I102</f>
        <v>-0.99999999999999822</v>
      </c>
      <c r="AH102" s="186">
        <f>+J102-'[2]Data FY23-24 Final'!J102</f>
        <v>0.99999999999999645</v>
      </c>
      <c r="AI102" s="186">
        <f>+K102-'[2]Data FY23-24 Final'!K102</f>
        <v>0</v>
      </c>
      <c r="AJ102" s="186">
        <f>+L102-'[2]Data FY23-24 Final'!L102</f>
        <v>0</v>
      </c>
      <c r="AK102" s="186">
        <f>+M102-'[2]Data FY23-24 Final'!M102</f>
        <v>0</v>
      </c>
      <c r="AL102" s="186">
        <f>+N102-'[2]Data FY23-24 Final'!N102</f>
        <v>0</v>
      </c>
      <c r="AM102" s="186">
        <f>+O102-'[2]Data FY23-24 Final'!O102</f>
        <v>0</v>
      </c>
      <c r="AN102" s="186">
        <f>+P102-'[2]Data FY23-24 Final'!P102</f>
        <v>-2.1659755954762973E-2</v>
      </c>
      <c r="AO102" s="186">
        <f>+Q102-'[2]Data FY23-24 Final'!Q102</f>
        <v>0.9783402440452349</v>
      </c>
      <c r="AP102" s="186">
        <f>+R102-'[2]Data FY23-24 Final'!R102</f>
        <v>-6.4429999999999996</v>
      </c>
      <c r="AQ102" s="186">
        <f>+S102-'[2]Data FY23-24 Final'!S102</f>
        <v>0</v>
      </c>
      <c r="AR102" s="186">
        <f>+T102-'[2]Data FY23-24 Final'!T102</f>
        <v>0</v>
      </c>
      <c r="AS102" s="186">
        <f>+U102-'[2]Data FY23-24 Final'!U102</f>
        <v>0</v>
      </c>
      <c r="AT102" s="186">
        <f>+V102-'[2]Data FY23-24 Final'!V102</f>
        <v>0</v>
      </c>
      <c r="AU102" s="186">
        <f>+W102-'[2]Data FY23-24 Final'!W102</f>
        <v>-5.4646597559547665</v>
      </c>
      <c r="AV102" s="186">
        <f>+X102-'[2]Data FY23-24 Final'!X102</f>
        <v>0</v>
      </c>
      <c r="AW102" s="161">
        <f>+Y102-'[2]Data FY23-24 Final'!Y102</f>
        <v>-8987.0300000002608</v>
      </c>
      <c r="AX102" s="161">
        <f>+Z102-'[2]Data FY23-24 Final'!Z102</f>
        <v>-67097.931936000474</v>
      </c>
    </row>
    <row r="103" spans="1:50" s="154" customFormat="1" ht="13" x14ac:dyDescent="0.3">
      <c r="A103" s="187" t="s">
        <v>292</v>
      </c>
      <c r="B103" s="187" t="s">
        <v>288</v>
      </c>
      <c r="C103" s="194" t="s">
        <v>293</v>
      </c>
      <c r="D103" s="349">
        <v>6285993</v>
      </c>
      <c r="E103" s="349">
        <v>0</v>
      </c>
      <c r="F103" s="349">
        <v>6285993</v>
      </c>
      <c r="G103" s="350">
        <v>127.5</v>
      </c>
      <c r="H103" s="348">
        <v>27</v>
      </c>
      <c r="I103" s="348">
        <v>0</v>
      </c>
      <c r="J103" s="210">
        <f t="shared" si="12"/>
        <v>27</v>
      </c>
      <c r="K103" s="185">
        <v>0</v>
      </c>
      <c r="L103" s="197">
        <v>0</v>
      </c>
      <c r="M103" s="185">
        <v>0</v>
      </c>
      <c r="N103" s="210">
        <v>0</v>
      </c>
      <c r="O103" s="316">
        <v>0</v>
      </c>
      <c r="P103" s="211">
        <f t="shared" si="7"/>
        <v>2.0283191533939031E-2</v>
      </c>
      <c r="Q103" s="317">
        <f t="shared" si="8"/>
        <v>27.020283191533938</v>
      </c>
      <c r="R103" s="196"/>
      <c r="S103" s="196"/>
      <c r="T103" s="196"/>
      <c r="U103" s="196"/>
      <c r="V103" s="196"/>
      <c r="W103" s="196">
        <f t="shared" si="9"/>
        <v>27.020283191533938</v>
      </c>
      <c r="X103" s="185">
        <v>163.48599999999999</v>
      </c>
      <c r="Y103" s="220">
        <v>1086825.22</v>
      </c>
      <c r="Z103" s="220">
        <v>891957.91349999991</v>
      </c>
      <c r="AB103" s="161">
        <f>+D103-'[2]Data FY23-24 Final'!D103</f>
        <v>84623</v>
      </c>
      <c r="AC103" s="161">
        <f>+E103-'[2]Data FY23-24 Final'!E103</f>
        <v>0</v>
      </c>
      <c r="AD103" s="161">
        <f>+F103-'[2]Data FY23-24 Final'!F103</f>
        <v>84623</v>
      </c>
      <c r="AE103" s="161">
        <f>+G103-'[2]Data FY23-24 Final'!G103</f>
        <v>127.5</v>
      </c>
      <c r="AF103" s="186">
        <f>+H103-'[2]Data FY23-24 Final'!H103</f>
        <v>0</v>
      </c>
      <c r="AG103" s="186">
        <f>+I103-'[2]Data FY23-24 Final'!I103</f>
        <v>0</v>
      </c>
      <c r="AH103" s="186">
        <f>+J103-'[2]Data FY23-24 Final'!J103</f>
        <v>0</v>
      </c>
      <c r="AI103" s="186">
        <f>+K103-'[2]Data FY23-24 Final'!K103</f>
        <v>0</v>
      </c>
      <c r="AJ103" s="186">
        <f>+L103-'[2]Data FY23-24 Final'!L103</f>
        <v>0</v>
      </c>
      <c r="AK103" s="186">
        <f>+M103-'[2]Data FY23-24 Final'!M103</f>
        <v>0</v>
      </c>
      <c r="AL103" s="186">
        <f>+N103-'[2]Data FY23-24 Final'!N103</f>
        <v>0</v>
      </c>
      <c r="AM103" s="186">
        <f>+O103-'[2]Data FY23-24 Final'!O103</f>
        <v>0</v>
      </c>
      <c r="AN103" s="186">
        <f>+P103-'[2]Data FY23-24 Final'!P103</f>
        <v>2.0283191533939031E-2</v>
      </c>
      <c r="AO103" s="186">
        <f>+Q103-'[2]Data FY23-24 Final'!Q103</f>
        <v>2.0283191533938094E-2</v>
      </c>
      <c r="AP103" s="186">
        <f>+R103-'[2]Data FY23-24 Final'!R103</f>
        <v>0</v>
      </c>
      <c r="AQ103" s="186">
        <f>+S103-'[2]Data FY23-24 Final'!S103</f>
        <v>0</v>
      </c>
      <c r="AR103" s="186">
        <f>+T103-'[2]Data FY23-24 Final'!T103</f>
        <v>0</v>
      </c>
      <c r="AS103" s="186">
        <f>+U103-'[2]Data FY23-24 Final'!U103</f>
        <v>0</v>
      </c>
      <c r="AT103" s="186">
        <f>+V103-'[2]Data FY23-24 Final'!V103</f>
        <v>0</v>
      </c>
      <c r="AU103" s="186">
        <f>+W103-'[2]Data FY23-24 Final'!W103</f>
        <v>2.0283191533938094E-2</v>
      </c>
      <c r="AV103" s="186">
        <f>+X103-'[2]Data FY23-24 Final'!X103</f>
        <v>0</v>
      </c>
      <c r="AW103" s="161">
        <f>+Y103-'[2]Data FY23-24 Final'!Y103</f>
        <v>21269.899999999907</v>
      </c>
      <c r="AX103" s="161">
        <f>+Z103-'[2]Data FY23-24 Final'!Z103</f>
        <v>11721.333499999833</v>
      </c>
    </row>
    <row r="104" spans="1:50" s="154" customFormat="1" ht="13" x14ac:dyDescent="0.3">
      <c r="A104" s="187" t="s">
        <v>294</v>
      </c>
      <c r="B104" s="187" t="s">
        <v>295</v>
      </c>
      <c r="C104" s="194" t="s">
        <v>296</v>
      </c>
      <c r="D104" s="349">
        <v>238807542</v>
      </c>
      <c r="E104" s="349">
        <v>7120873</v>
      </c>
      <c r="F104" s="349">
        <v>231686668</v>
      </c>
      <c r="G104" s="350">
        <v>0</v>
      </c>
      <c r="H104" s="348">
        <v>27</v>
      </c>
      <c r="I104" s="348">
        <v>0</v>
      </c>
      <c r="J104" s="210">
        <f t="shared" si="12"/>
        <v>27</v>
      </c>
      <c r="K104" s="185">
        <v>0</v>
      </c>
      <c r="L104" s="197">
        <v>0</v>
      </c>
      <c r="M104" s="185">
        <v>0</v>
      </c>
      <c r="N104" s="210">
        <v>0</v>
      </c>
      <c r="O104" s="316">
        <v>2.0409999999999999</v>
      </c>
      <c r="P104" s="211">
        <f t="shared" si="7"/>
        <v>0</v>
      </c>
      <c r="Q104" s="317">
        <f t="shared" si="8"/>
        <v>29.041</v>
      </c>
      <c r="R104" s="196"/>
      <c r="S104" s="196"/>
      <c r="T104" s="196"/>
      <c r="U104" s="196"/>
      <c r="V104" s="196"/>
      <c r="W104" s="196">
        <f t="shared" si="9"/>
        <v>29.041</v>
      </c>
      <c r="X104" s="185">
        <v>80.578000000000003</v>
      </c>
      <c r="Y104" s="220">
        <v>20417159.280000001</v>
      </c>
      <c r="Z104" s="220">
        <v>13126014.624000002</v>
      </c>
      <c r="AB104" s="161">
        <f>+D104-'[2]Data FY23-24 Final'!D104</f>
        <v>3411064</v>
      </c>
      <c r="AC104" s="161">
        <f>+E104-'[2]Data FY23-24 Final'!E104</f>
        <v>138905</v>
      </c>
      <c r="AD104" s="161">
        <f>+F104-'[2]Data FY23-24 Final'!F104</f>
        <v>3272158</v>
      </c>
      <c r="AE104" s="161">
        <f>+G104-'[2]Data FY23-24 Final'!G104</f>
        <v>-7123.96</v>
      </c>
      <c r="AF104" s="186">
        <f>+H104-'[2]Data FY23-24 Final'!H104</f>
        <v>0</v>
      </c>
      <c r="AG104" s="186">
        <f>+I104-'[2]Data FY23-24 Final'!I104</f>
        <v>0</v>
      </c>
      <c r="AH104" s="186">
        <f>+J104-'[2]Data FY23-24 Final'!J104</f>
        <v>0</v>
      </c>
      <c r="AI104" s="186">
        <f>+K104-'[2]Data FY23-24 Final'!K104</f>
        <v>0</v>
      </c>
      <c r="AJ104" s="186">
        <f>+L104-'[2]Data FY23-24 Final'!L104</f>
        <v>0</v>
      </c>
      <c r="AK104" s="186">
        <f>+M104-'[2]Data FY23-24 Final'!M104</f>
        <v>0</v>
      </c>
      <c r="AL104" s="186">
        <f>+N104-'[2]Data FY23-24 Final'!N104</f>
        <v>0</v>
      </c>
      <c r="AM104" s="186">
        <f>+O104-'[2]Data FY23-24 Final'!O104</f>
        <v>-0.14800000000000013</v>
      </c>
      <c r="AN104" s="186">
        <f>+P104-'[2]Data FY23-24 Final'!P104</f>
        <v>-3.1E-2</v>
      </c>
      <c r="AO104" s="186">
        <f>+Q104-'[2]Data FY23-24 Final'!Q104</f>
        <v>-0.17899999999999849</v>
      </c>
      <c r="AP104" s="186">
        <f>+R104-'[2]Data FY23-24 Final'!R104</f>
        <v>-2.1070000000000002</v>
      </c>
      <c r="AQ104" s="186">
        <f>+S104-'[2]Data FY23-24 Final'!S104</f>
        <v>0</v>
      </c>
      <c r="AR104" s="186">
        <f>+T104-'[2]Data FY23-24 Final'!T104</f>
        <v>0</v>
      </c>
      <c r="AS104" s="186">
        <f>+U104-'[2]Data FY23-24 Final'!U104</f>
        <v>0</v>
      </c>
      <c r="AT104" s="186">
        <f>+V104-'[2]Data FY23-24 Final'!V104</f>
        <v>0</v>
      </c>
      <c r="AU104" s="186">
        <f>+W104-'[2]Data FY23-24 Final'!W104</f>
        <v>-2.2860000000000014</v>
      </c>
      <c r="AV104" s="186">
        <f>+X104-'[2]Data FY23-24 Final'!X104</f>
        <v>0</v>
      </c>
      <c r="AW104" s="161">
        <f>+Y104-'[2]Data FY23-24 Final'!Y104</f>
        <v>431986.79000000283</v>
      </c>
      <c r="AX104" s="161">
        <f>+Z104-'[2]Data FY23-24 Final'!Z104</f>
        <v>-98225.505999997258</v>
      </c>
    </row>
    <row r="105" spans="1:50" s="154" customFormat="1" ht="13" x14ac:dyDescent="0.3">
      <c r="A105" s="187" t="s">
        <v>297</v>
      </c>
      <c r="B105" s="187" t="s">
        <v>295</v>
      </c>
      <c r="C105" s="194" t="s">
        <v>298</v>
      </c>
      <c r="D105" s="349">
        <v>47859865</v>
      </c>
      <c r="E105" s="349">
        <v>0</v>
      </c>
      <c r="F105" s="349">
        <v>47859865</v>
      </c>
      <c r="G105" s="350">
        <v>0</v>
      </c>
      <c r="H105" s="348">
        <v>27</v>
      </c>
      <c r="I105" s="348">
        <v>0</v>
      </c>
      <c r="J105" s="210">
        <f t="shared" si="12"/>
        <v>27</v>
      </c>
      <c r="K105" s="185">
        <v>0</v>
      </c>
      <c r="L105" s="197">
        <v>0</v>
      </c>
      <c r="M105" s="185">
        <v>0.39100000000000001</v>
      </c>
      <c r="N105" s="210">
        <v>0</v>
      </c>
      <c r="O105" s="316">
        <v>0</v>
      </c>
      <c r="P105" s="211">
        <f t="shared" si="7"/>
        <v>0</v>
      </c>
      <c r="Q105" s="317">
        <f t="shared" si="8"/>
        <v>27.390999999999998</v>
      </c>
      <c r="R105" s="196"/>
      <c r="S105" s="196"/>
      <c r="T105" s="196"/>
      <c r="U105" s="196"/>
      <c r="V105" s="196"/>
      <c r="W105" s="196">
        <f t="shared" si="9"/>
        <v>27.390999999999998</v>
      </c>
      <c r="X105" s="185">
        <v>68.177999999999997</v>
      </c>
      <c r="Y105" s="220">
        <v>3384655.91</v>
      </c>
      <c r="Z105" s="220">
        <v>1960991.9926999998</v>
      </c>
      <c r="AB105" s="161">
        <f>+D105-'[2]Data FY23-24 Final'!D105</f>
        <v>1445962</v>
      </c>
      <c r="AC105" s="161">
        <f>+E105-'[2]Data FY23-24 Final'!E105</f>
        <v>0</v>
      </c>
      <c r="AD105" s="161">
        <f>+F105-'[2]Data FY23-24 Final'!F105</f>
        <v>1445962</v>
      </c>
      <c r="AE105" s="161">
        <f>+G105-'[2]Data FY23-24 Final'!G105</f>
        <v>-4734</v>
      </c>
      <c r="AF105" s="186">
        <f>+H105-'[2]Data FY23-24 Final'!H105</f>
        <v>0</v>
      </c>
      <c r="AG105" s="186">
        <f>+I105-'[2]Data FY23-24 Final'!I105</f>
        <v>0</v>
      </c>
      <c r="AH105" s="186">
        <f>+J105-'[2]Data FY23-24 Final'!J105</f>
        <v>0</v>
      </c>
      <c r="AI105" s="186">
        <f>+K105-'[2]Data FY23-24 Final'!K105</f>
        <v>0</v>
      </c>
      <c r="AJ105" s="186">
        <f>+L105-'[2]Data FY23-24 Final'!L105</f>
        <v>0</v>
      </c>
      <c r="AK105" s="186">
        <f>+M105-'[2]Data FY23-24 Final'!M105</f>
        <v>-1.0000000000000009E-2</v>
      </c>
      <c r="AL105" s="186">
        <f>+N105-'[2]Data FY23-24 Final'!N105</f>
        <v>0</v>
      </c>
      <c r="AM105" s="186">
        <f>+O105-'[2]Data FY23-24 Final'!O105</f>
        <v>-0.63800000000000001</v>
      </c>
      <c r="AN105" s="186">
        <f>+P105-'[2]Data FY23-24 Final'!P105</f>
        <v>-0.10199999999999999</v>
      </c>
      <c r="AO105" s="186">
        <f>+Q105-'[2]Data FY23-24 Final'!Q105</f>
        <v>-0.75</v>
      </c>
      <c r="AP105" s="186">
        <f>+R105-'[2]Data FY23-24 Final'!R105</f>
        <v>0</v>
      </c>
      <c r="AQ105" s="186">
        <f>+S105-'[2]Data FY23-24 Final'!S105</f>
        <v>0</v>
      </c>
      <c r="AR105" s="186">
        <f>+T105-'[2]Data FY23-24 Final'!T105</f>
        <v>0</v>
      </c>
      <c r="AS105" s="186">
        <f>+U105-'[2]Data FY23-24 Final'!U105</f>
        <v>0</v>
      </c>
      <c r="AT105" s="186">
        <f>+V105-'[2]Data FY23-24 Final'!V105</f>
        <v>0</v>
      </c>
      <c r="AU105" s="186">
        <f>+W105-'[2]Data FY23-24 Final'!W105</f>
        <v>-0.75</v>
      </c>
      <c r="AV105" s="186">
        <f>+X105-'[2]Data FY23-24 Final'!X105</f>
        <v>0</v>
      </c>
      <c r="AW105" s="161">
        <f>+Y105-'[2]Data FY23-24 Final'!Y105</f>
        <v>50840.570000000298</v>
      </c>
      <c r="AX105" s="161">
        <f>+Z105-'[2]Data FY23-24 Final'!Z105</f>
        <v>-3237.4462999999523</v>
      </c>
    </row>
    <row r="106" spans="1:50" s="154" customFormat="1" x14ac:dyDescent="0.25">
      <c r="A106" s="187" t="s">
        <v>299</v>
      </c>
      <c r="B106" s="187" t="s">
        <v>295</v>
      </c>
      <c r="C106" s="194" t="s">
        <v>300</v>
      </c>
      <c r="D106" s="220">
        <v>42128166</v>
      </c>
      <c r="E106" s="220">
        <v>0</v>
      </c>
      <c r="F106" s="220">
        <f t="shared" si="10"/>
        <v>42128166</v>
      </c>
      <c r="G106" s="221">
        <v>2494.91</v>
      </c>
      <c r="H106" s="348">
        <v>27</v>
      </c>
      <c r="I106" s="348">
        <v>0</v>
      </c>
      <c r="J106" s="210">
        <f t="shared" si="12"/>
        <v>27</v>
      </c>
      <c r="K106" s="185">
        <v>0</v>
      </c>
      <c r="L106" s="197">
        <v>0</v>
      </c>
      <c r="M106" s="185">
        <v>0</v>
      </c>
      <c r="N106" s="210">
        <v>0</v>
      </c>
      <c r="O106" s="316">
        <v>0</v>
      </c>
      <c r="P106" s="211">
        <f t="shared" si="7"/>
        <v>5.92218991920987E-2</v>
      </c>
      <c r="Q106" s="317">
        <f t="shared" si="8"/>
        <v>27.059221899192099</v>
      </c>
      <c r="R106" s="196"/>
      <c r="S106" s="196"/>
      <c r="T106" s="196"/>
      <c r="U106" s="196"/>
      <c r="V106" s="196"/>
      <c r="W106" s="196">
        <f t="shared" si="9"/>
        <v>27.059221899192099</v>
      </c>
      <c r="X106" s="185">
        <v>101.714</v>
      </c>
      <c r="Y106" s="220">
        <v>4377984.3099999996</v>
      </c>
      <c r="Z106" s="220">
        <v>3147570.3655999997</v>
      </c>
      <c r="AB106" s="161">
        <f>+D106-'[2]Data FY23-24 Final'!D106</f>
        <v>1019917</v>
      </c>
      <c r="AC106" s="161">
        <f>+E106-'[2]Data FY23-24 Final'!E106</f>
        <v>0</v>
      </c>
      <c r="AD106" s="161">
        <f>+F106-'[2]Data FY23-24 Final'!F106</f>
        <v>1019917</v>
      </c>
      <c r="AE106" s="161">
        <f>+G106-'[2]Data FY23-24 Final'!G106</f>
        <v>315.90999999999985</v>
      </c>
      <c r="AF106" s="186">
        <f>+H106-'[2]Data FY23-24 Final'!H106</f>
        <v>0</v>
      </c>
      <c r="AG106" s="186">
        <f>+I106-'[2]Data FY23-24 Final'!I106</f>
        <v>0</v>
      </c>
      <c r="AH106" s="186">
        <f>+J106-'[2]Data FY23-24 Final'!J106</f>
        <v>0</v>
      </c>
      <c r="AI106" s="186">
        <f>+K106-'[2]Data FY23-24 Final'!K106</f>
        <v>0</v>
      </c>
      <c r="AJ106" s="186">
        <f>+L106-'[2]Data FY23-24 Final'!L106</f>
        <v>0</v>
      </c>
      <c r="AK106" s="186">
        <f>+M106-'[2]Data FY23-24 Final'!M106</f>
        <v>0</v>
      </c>
      <c r="AL106" s="186">
        <f>+N106-'[2]Data FY23-24 Final'!N106</f>
        <v>0</v>
      </c>
      <c r="AM106" s="186">
        <f>+O106-'[2]Data FY23-24 Final'!O106</f>
        <v>0</v>
      </c>
      <c r="AN106" s="186">
        <f>+P106-'[2]Data FY23-24 Final'!P106</f>
        <v>6.221899192098701E-3</v>
      </c>
      <c r="AO106" s="186">
        <f>+Q106-'[2]Data FY23-24 Final'!Q106</f>
        <v>6.22189919209859E-3</v>
      </c>
      <c r="AP106" s="186">
        <f>+R106-'[2]Data FY23-24 Final'!R106</f>
        <v>-3.9580000000000002</v>
      </c>
      <c r="AQ106" s="186">
        <f>+S106-'[2]Data FY23-24 Final'!S106</f>
        <v>0</v>
      </c>
      <c r="AR106" s="186">
        <f>+T106-'[2]Data FY23-24 Final'!T106</f>
        <v>0</v>
      </c>
      <c r="AS106" s="186">
        <f>+U106-'[2]Data FY23-24 Final'!U106</f>
        <v>0</v>
      </c>
      <c r="AT106" s="186">
        <f>+V106-'[2]Data FY23-24 Final'!V106</f>
        <v>0</v>
      </c>
      <c r="AU106" s="186">
        <f>+W106-'[2]Data FY23-24 Final'!W106</f>
        <v>-3.9517781008078998</v>
      </c>
      <c r="AV106" s="186">
        <f>+X106-'[2]Data FY23-24 Final'!X106</f>
        <v>0</v>
      </c>
      <c r="AW106" s="161">
        <f>+Y106-'[2]Data FY23-24 Final'!Y106</f>
        <v>-28734.510000000708</v>
      </c>
      <c r="AX106" s="161">
        <f>+Z106-'[2]Data FY23-24 Final'!Z106</f>
        <v>-53650.811400000472</v>
      </c>
    </row>
    <row r="107" spans="1:50" s="154" customFormat="1" ht="13" x14ac:dyDescent="0.3">
      <c r="A107" s="187" t="s">
        <v>301</v>
      </c>
      <c r="B107" s="187" t="s">
        <v>295</v>
      </c>
      <c r="C107" s="194" t="s">
        <v>302</v>
      </c>
      <c r="D107" s="349">
        <v>55518399</v>
      </c>
      <c r="E107" s="349">
        <v>0</v>
      </c>
      <c r="F107" s="349">
        <v>55518399</v>
      </c>
      <c r="G107" s="350">
        <v>0</v>
      </c>
      <c r="H107" s="348">
        <v>25.81</v>
      </c>
      <c r="I107" s="348">
        <v>4.3919999999999995</v>
      </c>
      <c r="J107" s="210">
        <f t="shared" si="12"/>
        <v>21.417999999999999</v>
      </c>
      <c r="K107" s="185">
        <v>0</v>
      </c>
      <c r="L107" s="197">
        <v>0</v>
      </c>
      <c r="M107" s="185">
        <v>0.61</v>
      </c>
      <c r="N107" s="210">
        <v>0</v>
      </c>
      <c r="O107" s="316">
        <v>7.4320000000000004</v>
      </c>
      <c r="P107" s="211">
        <f t="shared" si="7"/>
        <v>0</v>
      </c>
      <c r="Q107" s="317">
        <f t="shared" si="8"/>
        <v>29.46</v>
      </c>
      <c r="R107" s="196"/>
      <c r="S107" s="196"/>
      <c r="T107" s="196"/>
      <c r="U107" s="196"/>
      <c r="V107" s="196"/>
      <c r="W107" s="196">
        <f t="shared" si="9"/>
        <v>29.46</v>
      </c>
      <c r="X107" s="185">
        <v>49.594000000000001</v>
      </c>
      <c r="Y107" s="220">
        <v>3094005.14</v>
      </c>
      <c r="Z107" s="220">
        <v>1746904.7145500001</v>
      </c>
      <c r="AB107" s="161">
        <f>+D107-'[2]Data FY23-24 Final'!D107</f>
        <v>-2308107</v>
      </c>
      <c r="AC107" s="161">
        <f>+E107-'[2]Data FY23-24 Final'!E107</f>
        <v>0</v>
      </c>
      <c r="AD107" s="161">
        <f>+F107-'[2]Data FY23-24 Final'!F107</f>
        <v>-2308107</v>
      </c>
      <c r="AE107" s="161">
        <f>+G107-'[2]Data FY23-24 Final'!G107</f>
        <v>-13141.16</v>
      </c>
      <c r="AF107" s="186">
        <f>+H107-'[2]Data FY23-24 Final'!H107</f>
        <v>0</v>
      </c>
      <c r="AG107" s="186">
        <f>+I107-'[2]Data FY23-24 Final'!I107</f>
        <v>-1.0000000000000009</v>
      </c>
      <c r="AH107" s="186">
        <f>+J107-'[2]Data FY23-24 Final'!J107</f>
        <v>1</v>
      </c>
      <c r="AI107" s="186">
        <f>+K107-'[2]Data FY23-24 Final'!K107</f>
        <v>0</v>
      </c>
      <c r="AJ107" s="186">
        <f>+L107-'[2]Data FY23-24 Final'!L107</f>
        <v>0</v>
      </c>
      <c r="AK107" s="186">
        <f>+M107-'[2]Data FY23-24 Final'!M107</f>
        <v>0.61</v>
      </c>
      <c r="AL107" s="186">
        <f>+N107-'[2]Data FY23-24 Final'!N107</f>
        <v>0</v>
      </c>
      <c r="AM107" s="186">
        <f>+O107-'[2]Data FY23-24 Final'!O107</f>
        <v>-0.2629999999999999</v>
      </c>
      <c r="AN107" s="186">
        <f>+P107-'[2]Data FY23-24 Final'!P107</f>
        <v>-0.23</v>
      </c>
      <c r="AO107" s="186">
        <f>+Q107-'[2]Data FY23-24 Final'!Q107</f>
        <v>1.1170000000000009</v>
      </c>
      <c r="AP107" s="186">
        <f>+R107-'[2]Data FY23-24 Final'!R107</f>
        <v>-14.425000000000001</v>
      </c>
      <c r="AQ107" s="186">
        <f>+S107-'[2]Data FY23-24 Final'!S107</f>
        <v>0</v>
      </c>
      <c r="AR107" s="186">
        <f>+T107-'[2]Data FY23-24 Final'!T107</f>
        <v>0</v>
      </c>
      <c r="AS107" s="186">
        <f>+U107-'[2]Data FY23-24 Final'!U107</f>
        <v>0</v>
      </c>
      <c r="AT107" s="186">
        <f>+V107-'[2]Data FY23-24 Final'!V107</f>
        <v>0</v>
      </c>
      <c r="AU107" s="186">
        <f>+W107-'[2]Data FY23-24 Final'!W107</f>
        <v>-13.308</v>
      </c>
      <c r="AV107" s="186">
        <f>+X107-'[2]Data FY23-24 Final'!X107</f>
        <v>0</v>
      </c>
      <c r="AW107" s="161">
        <f>+Y107-'[2]Data FY23-24 Final'!Y107</f>
        <v>-42411.029999999795</v>
      </c>
      <c r="AX107" s="161">
        <f>+Z107-'[2]Data FY23-24 Final'!Z107</f>
        <v>-103163.27594199986</v>
      </c>
    </row>
    <row r="108" spans="1:50" s="154" customFormat="1" ht="13" x14ac:dyDescent="0.3">
      <c r="A108" s="187" t="s">
        <v>303</v>
      </c>
      <c r="B108" s="187" t="s">
        <v>304</v>
      </c>
      <c r="C108" s="194" t="s">
        <v>305</v>
      </c>
      <c r="D108" s="349">
        <v>278632400</v>
      </c>
      <c r="E108" s="349">
        <v>0</v>
      </c>
      <c r="F108" s="349">
        <v>278632400</v>
      </c>
      <c r="G108" s="350">
        <v>266.39</v>
      </c>
      <c r="H108" s="348">
        <v>3.43</v>
      </c>
      <c r="I108" s="348">
        <v>0</v>
      </c>
      <c r="J108" s="210">
        <f t="shared" si="12"/>
        <v>3.43</v>
      </c>
      <c r="K108" s="185">
        <v>0</v>
      </c>
      <c r="L108" s="197">
        <v>0</v>
      </c>
      <c r="M108" s="185">
        <v>1.2999999999999999E-2</v>
      </c>
      <c r="N108" s="210">
        <v>0</v>
      </c>
      <c r="O108" s="316">
        <v>0</v>
      </c>
      <c r="P108" s="211">
        <f t="shared" si="7"/>
        <v>9.5606253974771054E-4</v>
      </c>
      <c r="Q108" s="317">
        <f t="shared" si="8"/>
        <v>3.4439560625397476</v>
      </c>
      <c r="R108" s="196"/>
      <c r="S108" s="196"/>
      <c r="T108" s="196"/>
      <c r="U108" s="196"/>
      <c r="V108" s="196"/>
      <c r="W108" s="196">
        <f t="shared" si="9"/>
        <v>3.4439560625397476</v>
      </c>
      <c r="X108" s="185">
        <v>6.8719999999999999</v>
      </c>
      <c r="Y108" s="220">
        <v>2868424.66</v>
      </c>
      <c r="Z108" s="220">
        <v>1336848.3734000002</v>
      </c>
      <c r="AB108" s="161">
        <f>+D108-'[2]Data FY23-24 Final'!D108</f>
        <v>-107824750</v>
      </c>
      <c r="AC108" s="161">
        <f>+E108-'[2]Data FY23-24 Final'!E108</f>
        <v>0</v>
      </c>
      <c r="AD108" s="161">
        <f>+F108-'[2]Data FY23-24 Final'!F108</f>
        <v>-107824750</v>
      </c>
      <c r="AE108" s="161">
        <f>+G108-'[2]Data FY23-24 Final'!G108</f>
        <v>-2064.06</v>
      </c>
      <c r="AF108" s="186">
        <f>+H108-'[2]Data FY23-24 Final'!H108</f>
        <v>0</v>
      </c>
      <c r="AG108" s="186">
        <f>+I108-'[2]Data FY23-24 Final'!I108</f>
        <v>0</v>
      </c>
      <c r="AH108" s="186">
        <f>+J108-'[2]Data FY23-24 Final'!J108</f>
        <v>0</v>
      </c>
      <c r="AI108" s="186">
        <f>+K108-'[2]Data FY23-24 Final'!K108</f>
        <v>0</v>
      </c>
      <c r="AJ108" s="186">
        <f>+L108-'[2]Data FY23-24 Final'!L108</f>
        <v>0</v>
      </c>
      <c r="AK108" s="186">
        <f>+M108-'[2]Data FY23-24 Final'!M108</f>
        <v>-1.0000000000000009E-3</v>
      </c>
      <c r="AL108" s="186">
        <f>+N108-'[2]Data FY23-24 Final'!N108</f>
        <v>0</v>
      </c>
      <c r="AM108" s="186">
        <f>+O108-'[2]Data FY23-24 Final'!O108</f>
        <v>0</v>
      </c>
      <c r="AN108" s="186">
        <f>+P108-'[2]Data FY23-24 Final'!P108</f>
        <v>-5.0439374602522895E-3</v>
      </c>
      <c r="AO108" s="186">
        <f>+Q108-'[2]Data FY23-24 Final'!Q108</f>
        <v>-6.0439374602525575E-3</v>
      </c>
      <c r="AP108" s="186">
        <f>+R108-'[2]Data FY23-24 Final'!R108</f>
        <v>-2.8149999999999999</v>
      </c>
      <c r="AQ108" s="186">
        <f>+S108-'[2]Data FY23-24 Final'!S108</f>
        <v>0</v>
      </c>
      <c r="AR108" s="186">
        <f>+T108-'[2]Data FY23-24 Final'!T108</f>
        <v>0</v>
      </c>
      <c r="AS108" s="186">
        <f>+U108-'[2]Data FY23-24 Final'!U108</f>
        <v>0</v>
      </c>
      <c r="AT108" s="186">
        <f>+V108-'[2]Data FY23-24 Final'!V108</f>
        <v>0</v>
      </c>
      <c r="AU108" s="186">
        <f>+W108-'[2]Data FY23-24 Final'!W108</f>
        <v>-2.8210439374602521</v>
      </c>
      <c r="AV108" s="186">
        <f>+X108-'[2]Data FY23-24 Final'!X108</f>
        <v>0</v>
      </c>
      <c r="AW108" s="161">
        <f>+Y108-'[2]Data FY23-24 Final'!Y108</f>
        <v>-115983.0299999998</v>
      </c>
      <c r="AX108" s="161">
        <f>+Z108-'[2]Data FY23-24 Final'!Z108</f>
        <v>-229688.80209999974</v>
      </c>
    </row>
    <row r="109" spans="1:50" s="154" customFormat="1" ht="13" x14ac:dyDescent="0.3">
      <c r="A109" s="187" t="s">
        <v>306</v>
      </c>
      <c r="B109" s="187" t="s">
        <v>304</v>
      </c>
      <c r="C109" s="194" t="s">
        <v>307</v>
      </c>
      <c r="D109" s="349">
        <v>172181800</v>
      </c>
      <c r="E109" s="349">
        <v>0</v>
      </c>
      <c r="F109" s="349">
        <v>172181800</v>
      </c>
      <c r="G109" s="350">
        <v>4551.21</v>
      </c>
      <c r="H109" s="348">
        <v>11.895</v>
      </c>
      <c r="I109" s="348">
        <v>0</v>
      </c>
      <c r="J109" s="210">
        <f t="shared" si="12"/>
        <v>11.895</v>
      </c>
      <c r="K109" s="185">
        <v>0</v>
      </c>
      <c r="L109" s="197">
        <v>0</v>
      </c>
      <c r="M109" s="185">
        <v>0</v>
      </c>
      <c r="N109" s="210">
        <v>0</v>
      </c>
      <c r="O109" s="316">
        <v>1.5880000000000001</v>
      </c>
      <c r="P109" s="211">
        <f t="shared" si="7"/>
        <v>2.6432584628572821E-2</v>
      </c>
      <c r="Q109" s="317">
        <f t="shared" si="8"/>
        <v>13.509432584628573</v>
      </c>
      <c r="R109" s="196"/>
      <c r="S109" s="196"/>
      <c r="T109" s="196"/>
      <c r="U109" s="196"/>
      <c r="V109" s="196"/>
      <c r="W109" s="196">
        <f t="shared" si="9"/>
        <v>13.509432584628573</v>
      </c>
      <c r="X109" s="185">
        <v>18.114000000000001</v>
      </c>
      <c r="Y109" s="220">
        <v>4366211.42</v>
      </c>
      <c r="Z109" s="220">
        <v>1370761.2962499999</v>
      </c>
      <c r="AB109" s="161">
        <f>+D109-'[2]Data FY23-24 Final'!D109</f>
        <v>-43893590</v>
      </c>
      <c r="AC109" s="161">
        <f>+E109-'[2]Data FY23-24 Final'!E109</f>
        <v>0</v>
      </c>
      <c r="AD109" s="161">
        <f>+F109-'[2]Data FY23-24 Final'!F109</f>
        <v>-43893590</v>
      </c>
      <c r="AE109" s="161">
        <f>+G109-'[2]Data FY23-24 Final'!G109</f>
        <v>3847.56</v>
      </c>
      <c r="AF109" s="186">
        <f>+H109-'[2]Data FY23-24 Final'!H109</f>
        <v>0</v>
      </c>
      <c r="AG109" s="186">
        <f>+I109-'[2]Data FY23-24 Final'!I109</f>
        <v>0</v>
      </c>
      <c r="AH109" s="186">
        <f>+J109-'[2]Data FY23-24 Final'!J109</f>
        <v>0</v>
      </c>
      <c r="AI109" s="186">
        <f>+K109-'[2]Data FY23-24 Final'!K109</f>
        <v>0</v>
      </c>
      <c r="AJ109" s="186">
        <f>+L109-'[2]Data FY23-24 Final'!L109</f>
        <v>0</v>
      </c>
      <c r="AK109" s="186">
        <f>+M109-'[2]Data FY23-24 Final'!M109</f>
        <v>0</v>
      </c>
      <c r="AL109" s="186">
        <f>+N109-'[2]Data FY23-24 Final'!N109</f>
        <v>0</v>
      </c>
      <c r="AM109" s="186">
        <f>+O109-'[2]Data FY23-24 Final'!O109</f>
        <v>-3.2000000000000028E-2</v>
      </c>
      <c r="AN109" s="186">
        <f>+P109-'[2]Data FY23-24 Final'!P109</f>
        <v>2.3432584628572822E-2</v>
      </c>
      <c r="AO109" s="186">
        <f>+Q109-'[2]Data FY23-24 Final'!Q109</f>
        <v>-8.567415371427245E-3</v>
      </c>
      <c r="AP109" s="186">
        <f>+R109-'[2]Data FY23-24 Final'!R109</f>
        <v>-12.478999999999999</v>
      </c>
      <c r="AQ109" s="186">
        <f>+S109-'[2]Data FY23-24 Final'!S109</f>
        <v>0</v>
      </c>
      <c r="AR109" s="186">
        <f>+T109-'[2]Data FY23-24 Final'!T109</f>
        <v>0</v>
      </c>
      <c r="AS109" s="186">
        <f>+U109-'[2]Data FY23-24 Final'!U109</f>
        <v>0</v>
      </c>
      <c r="AT109" s="186">
        <f>+V109-'[2]Data FY23-24 Final'!V109</f>
        <v>0</v>
      </c>
      <c r="AU109" s="186">
        <f>+W109-'[2]Data FY23-24 Final'!W109</f>
        <v>-12.487567415371426</v>
      </c>
      <c r="AV109" s="186">
        <f>+X109-'[2]Data FY23-24 Final'!X109</f>
        <v>0</v>
      </c>
      <c r="AW109" s="161">
        <f>+Y109-'[2]Data FY23-24 Final'!Y109</f>
        <v>14118.229999999516</v>
      </c>
      <c r="AX109" s="161">
        <f>+Z109-'[2]Data FY23-24 Final'!Z109</f>
        <v>-139270.32970000058</v>
      </c>
    </row>
    <row r="110" spans="1:50" s="154" customFormat="1" ht="13" x14ac:dyDescent="0.3">
      <c r="A110" s="187" t="s">
        <v>308</v>
      </c>
      <c r="B110" s="187" t="s">
        <v>304</v>
      </c>
      <c r="C110" s="194" t="s">
        <v>309</v>
      </c>
      <c r="D110" s="349">
        <v>2554578660</v>
      </c>
      <c r="E110" s="349">
        <v>33195220</v>
      </c>
      <c r="F110" s="349">
        <v>2521383440</v>
      </c>
      <c r="G110" s="350">
        <v>221222.31</v>
      </c>
      <c r="H110" s="348">
        <v>27</v>
      </c>
      <c r="I110" s="348">
        <v>0</v>
      </c>
      <c r="J110" s="210">
        <f t="shared" si="12"/>
        <v>27</v>
      </c>
      <c r="K110" s="185">
        <v>0</v>
      </c>
      <c r="L110" s="197">
        <v>0</v>
      </c>
      <c r="M110" s="185">
        <v>0</v>
      </c>
      <c r="N110" s="210">
        <v>0</v>
      </c>
      <c r="O110" s="316">
        <v>5.923</v>
      </c>
      <c r="P110" s="211">
        <f t="shared" si="7"/>
        <v>8.773846392835831E-2</v>
      </c>
      <c r="Q110" s="317">
        <f t="shared" si="8"/>
        <v>33.010738463928362</v>
      </c>
      <c r="R110" s="196"/>
      <c r="S110" s="196"/>
      <c r="T110" s="196"/>
      <c r="U110" s="196"/>
      <c r="V110" s="196"/>
      <c r="W110" s="196">
        <f t="shared" si="9"/>
        <v>33.010738463928362</v>
      </c>
      <c r="X110" s="185">
        <v>80.358000000000004</v>
      </c>
      <c r="Y110" s="220">
        <v>220535305.49000001</v>
      </c>
      <c r="Z110" s="220">
        <v>141756783.5573</v>
      </c>
      <c r="AB110" s="161">
        <f>+D110-'[2]Data FY23-24 Final'!D110</f>
        <v>38863710</v>
      </c>
      <c r="AC110" s="161">
        <f>+E110-'[2]Data FY23-24 Final'!E110</f>
        <v>2119700</v>
      </c>
      <c r="AD110" s="161">
        <f>+F110-'[2]Data FY23-24 Final'!F110</f>
        <v>36744010</v>
      </c>
      <c r="AE110" s="161">
        <f>+G110-'[2]Data FY23-24 Final'!G110</f>
        <v>-12075.420000000013</v>
      </c>
      <c r="AF110" s="186">
        <f>+H110-'[2]Data FY23-24 Final'!H110</f>
        <v>0</v>
      </c>
      <c r="AG110" s="186">
        <f>+I110-'[2]Data FY23-24 Final'!I110</f>
        <v>0</v>
      </c>
      <c r="AH110" s="186">
        <f>+J110-'[2]Data FY23-24 Final'!J110</f>
        <v>0</v>
      </c>
      <c r="AI110" s="186">
        <f>+K110-'[2]Data FY23-24 Final'!K110</f>
        <v>0</v>
      </c>
      <c r="AJ110" s="186">
        <f>+L110-'[2]Data FY23-24 Final'!L110</f>
        <v>0</v>
      </c>
      <c r="AK110" s="186">
        <f>+M110-'[2]Data FY23-24 Final'!M110</f>
        <v>0</v>
      </c>
      <c r="AL110" s="186">
        <f>+N110-'[2]Data FY23-24 Final'!N110</f>
        <v>0</v>
      </c>
      <c r="AM110" s="186">
        <f>+O110-'[2]Data FY23-24 Final'!O110</f>
        <v>-0.70599999999999952</v>
      </c>
      <c r="AN110" s="186">
        <f>+P110-'[2]Data FY23-24 Final'!P110</f>
        <v>-6.2615360716416907E-3</v>
      </c>
      <c r="AO110" s="186">
        <f>+Q110-'[2]Data FY23-24 Final'!Q110</f>
        <v>-0.71226153607163667</v>
      </c>
      <c r="AP110" s="186">
        <f>+R110-'[2]Data FY23-24 Final'!R110</f>
        <v>-11.353999999999999</v>
      </c>
      <c r="AQ110" s="186">
        <f>+S110-'[2]Data FY23-24 Final'!S110</f>
        <v>0</v>
      </c>
      <c r="AR110" s="186">
        <f>+T110-'[2]Data FY23-24 Final'!T110</f>
        <v>0</v>
      </c>
      <c r="AS110" s="186">
        <f>+U110-'[2]Data FY23-24 Final'!U110</f>
        <v>0</v>
      </c>
      <c r="AT110" s="186">
        <f>+V110-'[2]Data FY23-24 Final'!V110</f>
        <v>0</v>
      </c>
      <c r="AU110" s="186">
        <f>+W110-'[2]Data FY23-24 Final'!W110</f>
        <v>-12.066261536071636</v>
      </c>
      <c r="AV110" s="186">
        <f>+X110-'[2]Data FY23-24 Final'!X110</f>
        <v>0</v>
      </c>
      <c r="AW110" s="161">
        <f>+Y110-'[2]Data FY23-24 Final'!Y110</f>
        <v>16071242.174199998</v>
      </c>
      <c r="AX110" s="161">
        <f>+Z110-'[2]Data FY23-24 Final'!Z110</f>
        <v>11746777.221500009</v>
      </c>
    </row>
    <row r="111" spans="1:50" s="154" customFormat="1" ht="13" x14ac:dyDescent="0.3">
      <c r="A111" s="187" t="s">
        <v>310</v>
      </c>
      <c r="B111" s="187" t="s">
        <v>311</v>
      </c>
      <c r="C111" s="194" t="s">
        <v>312</v>
      </c>
      <c r="D111" s="349">
        <v>55759843</v>
      </c>
      <c r="E111" s="349">
        <v>0</v>
      </c>
      <c r="F111" s="349">
        <v>55759843</v>
      </c>
      <c r="G111" s="350">
        <v>0</v>
      </c>
      <c r="H111" s="348">
        <v>27</v>
      </c>
      <c r="I111" s="348">
        <v>2.546999999999997</v>
      </c>
      <c r="J111" s="210">
        <f t="shared" si="12"/>
        <v>24.453000000000003</v>
      </c>
      <c r="K111" s="185">
        <v>0</v>
      </c>
      <c r="L111" s="197">
        <v>0</v>
      </c>
      <c r="M111" s="185">
        <v>0</v>
      </c>
      <c r="N111" s="210">
        <v>0</v>
      </c>
      <c r="O111" s="316">
        <v>1.2030000000000001</v>
      </c>
      <c r="P111" s="211">
        <f t="shared" si="7"/>
        <v>0</v>
      </c>
      <c r="Q111" s="317">
        <f t="shared" si="8"/>
        <v>25.656000000000002</v>
      </c>
      <c r="R111" s="196"/>
      <c r="S111" s="196"/>
      <c r="T111" s="196"/>
      <c r="U111" s="196"/>
      <c r="V111" s="196"/>
      <c r="W111" s="196">
        <f t="shared" si="9"/>
        <v>25.656000000000002</v>
      </c>
      <c r="X111" s="185">
        <v>30.478999999999999</v>
      </c>
      <c r="Y111" s="220">
        <v>1886302.43</v>
      </c>
      <c r="Z111" s="220">
        <v>408784.62763799995</v>
      </c>
      <c r="AB111" s="161">
        <f>+D111-'[2]Data FY23-24 Final'!D111</f>
        <v>1227954</v>
      </c>
      <c r="AC111" s="161">
        <f>+E111-'[2]Data FY23-24 Final'!E111</f>
        <v>0</v>
      </c>
      <c r="AD111" s="161">
        <f>+F111-'[2]Data FY23-24 Final'!F111</f>
        <v>1227954</v>
      </c>
      <c r="AE111" s="161">
        <f>+G111-'[2]Data FY23-24 Final'!G111</f>
        <v>0</v>
      </c>
      <c r="AF111" s="186">
        <f>+H111-'[2]Data FY23-24 Final'!H111</f>
        <v>0</v>
      </c>
      <c r="AG111" s="186">
        <f>+I111-'[2]Data FY23-24 Final'!I111</f>
        <v>-1.0000000000000031</v>
      </c>
      <c r="AH111" s="186">
        <f>+J111-'[2]Data FY23-24 Final'!J111</f>
        <v>1.0000000000000036</v>
      </c>
      <c r="AI111" s="186">
        <f>+K111-'[2]Data FY23-24 Final'!K111</f>
        <v>0</v>
      </c>
      <c r="AJ111" s="186">
        <f>+L111-'[2]Data FY23-24 Final'!L111</f>
        <v>0</v>
      </c>
      <c r="AK111" s="186">
        <f>+M111-'[2]Data FY23-24 Final'!M111</f>
        <v>0</v>
      </c>
      <c r="AL111" s="186">
        <f>+N111-'[2]Data FY23-24 Final'!N111</f>
        <v>0</v>
      </c>
      <c r="AM111" s="186">
        <f>+O111-'[2]Data FY23-24 Final'!O111</f>
        <v>-8.0999999999999961E-2</v>
      </c>
      <c r="AN111" s="186">
        <f>+P111-'[2]Data FY23-24 Final'!P111</f>
        <v>0</v>
      </c>
      <c r="AO111" s="186">
        <f>+Q111-'[2]Data FY23-24 Final'!Q111</f>
        <v>0.91900000000000404</v>
      </c>
      <c r="AP111" s="186">
        <f>+R111-'[2]Data FY23-24 Final'!R111</f>
        <v>-9.5359999999999996</v>
      </c>
      <c r="AQ111" s="186">
        <f>+S111-'[2]Data FY23-24 Final'!S111</f>
        <v>0</v>
      </c>
      <c r="AR111" s="186">
        <f>+T111-'[2]Data FY23-24 Final'!T111</f>
        <v>0</v>
      </c>
      <c r="AS111" s="186">
        <f>+U111-'[2]Data FY23-24 Final'!U111</f>
        <v>0</v>
      </c>
      <c r="AT111" s="186">
        <f>+V111-'[2]Data FY23-24 Final'!V111</f>
        <v>0</v>
      </c>
      <c r="AU111" s="186">
        <f>+W111-'[2]Data FY23-24 Final'!W111</f>
        <v>-8.6170000000000009</v>
      </c>
      <c r="AV111" s="186">
        <f>+X111-'[2]Data FY23-24 Final'!X111</f>
        <v>0</v>
      </c>
      <c r="AW111" s="161">
        <f>+Y111-'[2]Data FY23-24 Final'!Y111</f>
        <v>-130680.91000000015</v>
      </c>
      <c r="AX111" s="161">
        <f>+Z111-'[2]Data FY23-24 Final'!Z111</f>
        <v>-217871.93964500003</v>
      </c>
    </row>
    <row r="112" spans="1:50" s="154" customFormat="1" ht="13" x14ac:dyDescent="0.25">
      <c r="A112" s="187" t="s">
        <v>313</v>
      </c>
      <c r="B112" s="187" t="s">
        <v>314</v>
      </c>
      <c r="C112" s="194" t="s">
        <v>314</v>
      </c>
      <c r="D112" s="321">
        <v>399597228</v>
      </c>
      <c r="E112" s="321">
        <v>0</v>
      </c>
      <c r="F112" s="321">
        <v>399597228</v>
      </c>
      <c r="G112" s="321">
        <v>87228</v>
      </c>
      <c r="H112" s="348">
        <v>27</v>
      </c>
      <c r="I112" s="348">
        <v>2.4840000000000018</v>
      </c>
      <c r="J112" s="210">
        <f t="shared" si="12"/>
        <v>24.515999999999998</v>
      </c>
      <c r="K112" s="185">
        <v>0</v>
      </c>
      <c r="L112" s="197">
        <v>0</v>
      </c>
      <c r="M112" s="185">
        <v>0.65</v>
      </c>
      <c r="N112" s="210">
        <v>0</v>
      </c>
      <c r="O112" s="316">
        <v>4.4470000000000001</v>
      </c>
      <c r="P112" s="211">
        <f t="shared" si="7"/>
        <v>0.21828980255088257</v>
      </c>
      <c r="Q112" s="317">
        <f t="shared" si="8"/>
        <v>29.831289802550877</v>
      </c>
      <c r="R112" s="196"/>
      <c r="S112" s="196"/>
      <c r="T112" s="196"/>
      <c r="U112" s="196"/>
      <c r="V112" s="196"/>
      <c r="W112" s="196">
        <f t="shared" si="9"/>
        <v>29.831289802550877</v>
      </c>
      <c r="X112" s="185">
        <v>44.606999999999999</v>
      </c>
      <c r="Y112" s="220">
        <v>19960166.600000001</v>
      </c>
      <c r="Z112" s="220">
        <v>9011464.1337480024</v>
      </c>
      <c r="AB112" s="161">
        <f>+D112-'[2]Data FY23-24 Final'!D112</f>
        <v>-12128277</v>
      </c>
      <c r="AC112" s="161">
        <f>+E112-'[2]Data FY23-24 Final'!E112</f>
        <v>0</v>
      </c>
      <c r="AD112" s="161">
        <f>+F112-'[2]Data FY23-24 Final'!F112</f>
        <v>-12128277</v>
      </c>
      <c r="AE112" s="161">
        <f>+G112-'[2]Data FY23-24 Final'!G112</f>
        <v>20097.380000000005</v>
      </c>
      <c r="AF112" s="186">
        <f>+H112-'[2]Data FY23-24 Final'!H112</f>
        <v>0</v>
      </c>
      <c r="AG112" s="186">
        <f>+I112-'[2]Data FY23-24 Final'!I112</f>
        <v>-0.99999999999999822</v>
      </c>
      <c r="AH112" s="186">
        <f>+J112-'[2]Data FY23-24 Final'!J112</f>
        <v>1</v>
      </c>
      <c r="AI112" s="186">
        <f>+K112-'[2]Data FY23-24 Final'!K112</f>
        <v>0</v>
      </c>
      <c r="AJ112" s="186">
        <f>+L112-'[2]Data FY23-24 Final'!L112</f>
        <v>0</v>
      </c>
      <c r="AK112" s="186">
        <f>+M112-'[2]Data FY23-24 Final'!M112</f>
        <v>-2.5000000000000022E-2</v>
      </c>
      <c r="AL112" s="186">
        <f>+N112-'[2]Data FY23-24 Final'!N112</f>
        <v>0</v>
      </c>
      <c r="AM112" s="186">
        <f>+O112-'[2]Data FY23-24 Final'!O112</f>
        <v>-0.16800000000000015</v>
      </c>
      <c r="AN112" s="186">
        <f>+P112-'[2]Data FY23-24 Final'!P112</f>
        <v>5.5289802550882561E-2</v>
      </c>
      <c r="AO112" s="186">
        <f>+Q112-'[2]Data FY23-24 Final'!Q112</f>
        <v>0.86228980255087606</v>
      </c>
      <c r="AP112" s="186">
        <f>+R112-'[2]Data FY23-24 Final'!R112</f>
        <v>-6.5270000000000001</v>
      </c>
      <c r="AQ112" s="186">
        <f>+S112-'[2]Data FY23-24 Final'!S112</f>
        <v>0</v>
      </c>
      <c r="AR112" s="186">
        <f>+T112-'[2]Data FY23-24 Final'!T112</f>
        <v>0</v>
      </c>
      <c r="AS112" s="186">
        <f>+U112-'[2]Data FY23-24 Final'!U112</f>
        <v>0</v>
      </c>
      <c r="AT112" s="186">
        <f>+V112-'[2]Data FY23-24 Final'!V112</f>
        <v>0</v>
      </c>
      <c r="AU112" s="186">
        <f>+W112-'[2]Data FY23-24 Final'!W112</f>
        <v>-5.664710197449125</v>
      </c>
      <c r="AV112" s="186">
        <f>+X112-'[2]Data FY23-24 Final'!X112</f>
        <v>0</v>
      </c>
      <c r="AW112" s="161">
        <f>+Y112-'[2]Data FY23-24 Final'!Y112</f>
        <v>322689.73000000045</v>
      </c>
      <c r="AX112" s="161">
        <f>+Z112-'[2]Data FY23-24 Final'!Z112</f>
        <v>1119.0293279998004</v>
      </c>
    </row>
    <row r="113" spans="1:50" s="154" customFormat="1" ht="13" x14ac:dyDescent="0.3">
      <c r="A113" s="187" t="s">
        <v>315</v>
      </c>
      <c r="B113" s="187" t="s">
        <v>316</v>
      </c>
      <c r="C113" s="194" t="s">
        <v>316</v>
      </c>
      <c r="D113" s="349">
        <v>527514110</v>
      </c>
      <c r="E113" s="349">
        <v>0</v>
      </c>
      <c r="F113" s="349">
        <v>527514110</v>
      </c>
      <c r="G113" s="350">
        <v>1617.21</v>
      </c>
      <c r="H113" s="348">
        <v>27</v>
      </c>
      <c r="I113" s="348">
        <v>4.1549999999999976</v>
      </c>
      <c r="J113" s="210">
        <f t="shared" si="12"/>
        <v>22.845000000000002</v>
      </c>
      <c r="K113" s="185">
        <v>0</v>
      </c>
      <c r="L113" s="197">
        <v>0</v>
      </c>
      <c r="M113" s="185">
        <v>0</v>
      </c>
      <c r="N113" s="210">
        <v>0</v>
      </c>
      <c r="O113" s="316">
        <v>0</v>
      </c>
      <c r="P113" s="211">
        <f t="shared" si="7"/>
        <v>3.0657189435179281E-3</v>
      </c>
      <c r="Q113" s="317">
        <f t="shared" si="8"/>
        <v>22.84806571894352</v>
      </c>
      <c r="R113" s="196"/>
      <c r="S113" s="196"/>
      <c r="T113" s="196"/>
      <c r="U113" s="196"/>
      <c r="V113" s="196"/>
      <c r="W113" s="196">
        <f t="shared" si="9"/>
        <v>22.84806571894352</v>
      </c>
      <c r="X113" s="185">
        <v>40.495000000000005</v>
      </c>
      <c r="Y113" s="220">
        <v>26467359.57</v>
      </c>
      <c r="Z113" s="220">
        <v>11589244.752</v>
      </c>
      <c r="AB113" s="161">
        <f>+D113-'[2]Data FY23-24 Final'!D113</f>
        <v>-76705010</v>
      </c>
      <c r="AC113" s="161">
        <f>+E113-'[2]Data FY23-24 Final'!E113</f>
        <v>0</v>
      </c>
      <c r="AD113" s="161">
        <f>+F113-'[2]Data FY23-24 Final'!F113</f>
        <v>-76705010</v>
      </c>
      <c r="AE113" s="161">
        <f>+G113-'[2]Data FY23-24 Final'!G113</f>
        <v>1617.21</v>
      </c>
      <c r="AF113" s="186">
        <f>+H113-'[2]Data FY23-24 Final'!H113</f>
        <v>0</v>
      </c>
      <c r="AG113" s="186">
        <f>+I113-'[2]Data FY23-24 Final'!I113</f>
        <v>-1.0000000000000027</v>
      </c>
      <c r="AH113" s="186">
        <f>+J113-'[2]Data FY23-24 Final'!J113</f>
        <v>1.0000000000000036</v>
      </c>
      <c r="AI113" s="186">
        <f>+K113-'[2]Data FY23-24 Final'!K113</f>
        <v>0</v>
      </c>
      <c r="AJ113" s="186">
        <f>+L113-'[2]Data FY23-24 Final'!L113</f>
        <v>0</v>
      </c>
      <c r="AK113" s="186">
        <f>+M113-'[2]Data FY23-24 Final'!M113</f>
        <v>0</v>
      </c>
      <c r="AL113" s="186">
        <f>+N113-'[2]Data FY23-24 Final'!N113</f>
        <v>0</v>
      </c>
      <c r="AM113" s="186">
        <f>+O113-'[2]Data FY23-24 Final'!O113</f>
        <v>0</v>
      </c>
      <c r="AN113" s="186">
        <f>+P113-'[2]Data FY23-24 Final'!P113</f>
        <v>3.0657189435179281E-3</v>
      </c>
      <c r="AO113" s="186">
        <f>+Q113-'[2]Data FY23-24 Final'!Q113</f>
        <v>1.003065718943521</v>
      </c>
      <c r="AP113" s="186">
        <f>+R113-'[2]Data FY23-24 Final'!R113</f>
        <v>-2.359</v>
      </c>
      <c r="AQ113" s="186">
        <f>+S113-'[2]Data FY23-24 Final'!S113</f>
        <v>0</v>
      </c>
      <c r="AR113" s="186">
        <f>+T113-'[2]Data FY23-24 Final'!T113</f>
        <v>0</v>
      </c>
      <c r="AS113" s="186">
        <f>+U113-'[2]Data FY23-24 Final'!U113</f>
        <v>0</v>
      </c>
      <c r="AT113" s="186">
        <f>+V113-'[2]Data FY23-24 Final'!V113</f>
        <v>0</v>
      </c>
      <c r="AU113" s="186">
        <f>+W113-'[2]Data FY23-24 Final'!W113</f>
        <v>-1.3559342810564807</v>
      </c>
      <c r="AV113" s="186">
        <f>+X113-'[2]Data FY23-24 Final'!X113</f>
        <v>0</v>
      </c>
      <c r="AW113" s="161">
        <f>+Y113-'[2]Data FY23-24 Final'!Y113</f>
        <v>955966.51999999955</v>
      </c>
      <c r="AX113" s="161">
        <f>+Z113-'[2]Data FY23-24 Final'!Z113</f>
        <v>379304.59840000048</v>
      </c>
    </row>
    <row r="114" spans="1:50" s="154" customFormat="1" ht="13" x14ac:dyDescent="0.3">
      <c r="A114" s="187" t="s">
        <v>317</v>
      </c>
      <c r="B114" s="187" t="s">
        <v>316</v>
      </c>
      <c r="C114" s="194" t="s">
        <v>165</v>
      </c>
      <c r="D114" s="349">
        <v>63585660</v>
      </c>
      <c r="E114" s="349">
        <v>0</v>
      </c>
      <c r="F114" s="349">
        <v>63585660</v>
      </c>
      <c r="G114" s="350">
        <v>7363.44</v>
      </c>
      <c r="H114" s="348">
        <v>27</v>
      </c>
      <c r="I114" s="348">
        <v>2.1169999999999973</v>
      </c>
      <c r="J114" s="210">
        <f t="shared" si="12"/>
        <v>24.883000000000003</v>
      </c>
      <c r="K114" s="185">
        <v>0</v>
      </c>
      <c r="L114" s="197">
        <v>0</v>
      </c>
      <c r="M114" s="185">
        <v>0</v>
      </c>
      <c r="N114" s="210">
        <v>0</v>
      </c>
      <c r="O114" s="316">
        <v>5.774</v>
      </c>
      <c r="P114" s="211">
        <f t="shared" si="7"/>
        <v>0.11580346889534526</v>
      </c>
      <c r="Q114" s="317">
        <f t="shared" si="8"/>
        <v>30.772803468895347</v>
      </c>
      <c r="R114" s="196"/>
      <c r="S114" s="196"/>
      <c r="T114" s="196"/>
      <c r="U114" s="196"/>
      <c r="V114" s="196"/>
      <c r="W114" s="196">
        <f t="shared" si="9"/>
        <v>30.772803468895347</v>
      </c>
      <c r="X114" s="185">
        <v>106.806</v>
      </c>
      <c r="Y114" s="220">
        <v>7389477.3099999996</v>
      </c>
      <c r="Z114" s="220">
        <v>5601219.4920599991</v>
      </c>
      <c r="AB114" s="161">
        <f>+D114-'[2]Data FY23-24 Final'!D114</f>
        <v>1568420</v>
      </c>
      <c r="AC114" s="161">
        <f>+E114-'[2]Data FY23-24 Final'!E114</f>
        <v>0</v>
      </c>
      <c r="AD114" s="161">
        <f>+F114-'[2]Data FY23-24 Final'!F114</f>
        <v>1568420</v>
      </c>
      <c r="AE114" s="161">
        <f>+G114-'[2]Data FY23-24 Final'!G114</f>
        <v>7363.44</v>
      </c>
      <c r="AF114" s="186">
        <f>+H114-'[2]Data FY23-24 Final'!H114</f>
        <v>0</v>
      </c>
      <c r="AG114" s="186">
        <f>+I114-'[2]Data FY23-24 Final'!I114</f>
        <v>-1.0000000000000027</v>
      </c>
      <c r="AH114" s="186">
        <f>+J114-'[2]Data FY23-24 Final'!J114</f>
        <v>1.0000000000000036</v>
      </c>
      <c r="AI114" s="186">
        <f>+K114-'[2]Data FY23-24 Final'!K114</f>
        <v>0</v>
      </c>
      <c r="AJ114" s="186">
        <f>+L114-'[2]Data FY23-24 Final'!L114</f>
        <v>0</v>
      </c>
      <c r="AK114" s="186">
        <f>+M114-'[2]Data FY23-24 Final'!M114</f>
        <v>0</v>
      </c>
      <c r="AL114" s="186">
        <f>+N114-'[2]Data FY23-24 Final'!N114</f>
        <v>0</v>
      </c>
      <c r="AM114" s="186">
        <f>+O114-'[2]Data FY23-24 Final'!O114</f>
        <v>-0.51499999999999968</v>
      </c>
      <c r="AN114" s="186">
        <f>+P114-'[2]Data FY23-24 Final'!P114</f>
        <v>0.11580346889534526</v>
      </c>
      <c r="AO114" s="186">
        <f>+Q114-'[2]Data FY23-24 Final'!Q114</f>
        <v>0.60080346889534653</v>
      </c>
      <c r="AP114" s="186">
        <f>+R114-'[2]Data FY23-24 Final'!R114</f>
        <v>-3.7890000000000001</v>
      </c>
      <c r="AQ114" s="186">
        <f>+S114-'[2]Data FY23-24 Final'!S114</f>
        <v>0</v>
      </c>
      <c r="AR114" s="186">
        <f>+T114-'[2]Data FY23-24 Final'!T114</f>
        <v>0</v>
      </c>
      <c r="AS114" s="186">
        <f>+U114-'[2]Data FY23-24 Final'!U114</f>
        <v>0</v>
      </c>
      <c r="AT114" s="186">
        <f>+V114-'[2]Data FY23-24 Final'!V114</f>
        <v>0</v>
      </c>
      <c r="AU114" s="186">
        <f>+W114-'[2]Data FY23-24 Final'!W114</f>
        <v>-3.1881965311046514</v>
      </c>
      <c r="AV114" s="186">
        <f>+X114-'[2]Data FY23-24 Final'!X114</f>
        <v>0</v>
      </c>
      <c r="AW114" s="161">
        <f>+Y114-'[2]Data FY23-24 Final'!Y114</f>
        <v>53481.099999999627</v>
      </c>
      <c r="AX114" s="161">
        <f>+Z114-'[2]Data FY23-24 Final'!Z114</f>
        <v>-93522.365020000376</v>
      </c>
    </row>
    <row r="115" spans="1:50" s="154" customFormat="1" ht="13" x14ac:dyDescent="0.3">
      <c r="A115" s="187" t="s">
        <v>318</v>
      </c>
      <c r="B115" s="187" t="s">
        <v>316</v>
      </c>
      <c r="C115" s="194" t="s">
        <v>319</v>
      </c>
      <c r="D115" s="349">
        <v>56105060</v>
      </c>
      <c r="E115" s="349">
        <v>0</v>
      </c>
      <c r="F115" s="349">
        <v>56105060</v>
      </c>
      <c r="G115" s="350">
        <v>2959.85</v>
      </c>
      <c r="H115" s="348">
        <v>27</v>
      </c>
      <c r="I115" s="348">
        <v>7.3419999999999987</v>
      </c>
      <c r="J115" s="210">
        <f t="shared" si="12"/>
        <v>19.658000000000001</v>
      </c>
      <c r="K115" s="185">
        <v>0</v>
      </c>
      <c r="L115" s="197">
        <v>0</v>
      </c>
      <c r="M115" s="185">
        <v>0</v>
      </c>
      <c r="N115" s="210">
        <v>0</v>
      </c>
      <c r="O115" s="316">
        <v>5.6210000000000004</v>
      </c>
      <c r="P115" s="211">
        <f t="shared" si="7"/>
        <v>5.2755491215943799E-2</v>
      </c>
      <c r="Q115" s="317">
        <f t="shared" si="8"/>
        <v>25.331755491215947</v>
      </c>
      <c r="R115" s="196"/>
      <c r="S115" s="196"/>
      <c r="T115" s="196"/>
      <c r="U115" s="196"/>
      <c r="V115" s="196"/>
      <c r="W115" s="196">
        <f t="shared" si="9"/>
        <v>25.331755491215947</v>
      </c>
      <c r="X115" s="185">
        <v>93.137</v>
      </c>
      <c r="Y115" s="220">
        <v>5610247.3899999997</v>
      </c>
      <c r="Z115" s="220">
        <v>4422721.8400599994</v>
      </c>
      <c r="AB115" s="161">
        <f>+D115-'[2]Data FY23-24 Final'!D115</f>
        <v>1310310</v>
      </c>
      <c r="AC115" s="161">
        <f>+E115-'[2]Data FY23-24 Final'!E115</f>
        <v>0</v>
      </c>
      <c r="AD115" s="161">
        <f>+F115-'[2]Data FY23-24 Final'!F115</f>
        <v>1310310</v>
      </c>
      <c r="AE115" s="161">
        <f>+G115-'[2]Data FY23-24 Final'!G115</f>
        <v>2959.85</v>
      </c>
      <c r="AF115" s="186">
        <f>+H115-'[2]Data FY23-24 Final'!H115</f>
        <v>0</v>
      </c>
      <c r="AG115" s="186">
        <f>+I115-'[2]Data FY23-24 Final'!I115</f>
        <v>-1.0000000000000018</v>
      </c>
      <c r="AH115" s="186">
        <f>+J115-'[2]Data FY23-24 Final'!J115</f>
        <v>1</v>
      </c>
      <c r="AI115" s="186">
        <f>+K115-'[2]Data FY23-24 Final'!K115</f>
        <v>0</v>
      </c>
      <c r="AJ115" s="186">
        <f>+L115-'[2]Data FY23-24 Final'!L115</f>
        <v>0</v>
      </c>
      <c r="AK115" s="186">
        <f>+M115-'[2]Data FY23-24 Final'!M115</f>
        <v>0</v>
      </c>
      <c r="AL115" s="186">
        <f>+N115-'[2]Data FY23-24 Final'!N115</f>
        <v>0</v>
      </c>
      <c r="AM115" s="186">
        <f>+O115-'[2]Data FY23-24 Final'!O115</f>
        <v>4.5660000000000007</v>
      </c>
      <c r="AN115" s="186">
        <f>+P115-'[2]Data FY23-24 Final'!P115</f>
        <v>5.2755491215943799E-2</v>
      </c>
      <c r="AO115" s="186">
        <f>+Q115-'[2]Data FY23-24 Final'!Q115</f>
        <v>5.6187554912159463</v>
      </c>
      <c r="AP115" s="186">
        <f>+R115-'[2]Data FY23-24 Final'!R115</f>
        <v>-6.8440000000000003</v>
      </c>
      <c r="AQ115" s="186">
        <f>+S115-'[2]Data FY23-24 Final'!S115</f>
        <v>0</v>
      </c>
      <c r="AR115" s="186">
        <f>+T115-'[2]Data FY23-24 Final'!T115</f>
        <v>0</v>
      </c>
      <c r="AS115" s="186">
        <f>+U115-'[2]Data FY23-24 Final'!U115</f>
        <v>0</v>
      </c>
      <c r="AT115" s="186">
        <f>+V115-'[2]Data FY23-24 Final'!V115</f>
        <v>0</v>
      </c>
      <c r="AU115" s="186">
        <f>+W115-'[2]Data FY23-24 Final'!W115</f>
        <v>-1.2252445087840513</v>
      </c>
      <c r="AV115" s="186">
        <f>+X115-'[2]Data FY23-24 Final'!X115</f>
        <v>0</v>
      </c>
      <c r="AW115" s="161">
        <f>+Y115-'[2]Data FY23-24 Final'!Y115</f>
        <v>-121956.66999999993</v>
      </c>
      <c r="AX115" s="161">
        <f>+Z115-'[2]Data FY23-24 Final'!Z115</f>
        <v>-204037.13444000017</v>
      </c>
    </row>
    <row r="116" spans="1:50" s="154" customFormat="1" ht="13" x14ac:dyDescent="0.3">
      <c r="A116" s="187" t="s">
        <v>320</v>
      </c>
      <c r="B116" s="187" t="s">
        <v>321</v>
      </c>
      <c r="C116" s="194" t="s">
        <v>321</v>
      </c>
      <c r="D116" s="349">
        <v>852408540</v>
      </c>
      <c r="E116" s="349">
        <v>15152372</v>
      </c>
      <c r="F116" s="349">
        <v>837256168</v>
      </c>
      <c r="G116" s="350">
        <v>65683.97</v>
      </c>
      <c r="H116" s="348">
        <v>27</v>
      </c>
      <c r="I116" s="348">
        <v>1.0330000000000013</v>
      </c>
      <c r="J116" s="210">
        <f t="shared" si="12"/>
        <v>25.966999999999999</v>
      </c>
      <c r="K116" s="185">
        <v>0</v>
      </c>
      <c r="L116" s="197">
        <v>0</v>
      </c>
      <c r="M116" s="185">
        <v>0</v>
      </c>
      <c r="N116" s="210">
        <v>0</v>
      </c>
      <c r="O116" s="316">
        <v>0</v>
      </c>
      <c r="P116" s="211">
        <f t="shared" si="7"/>
        <v>7.8451461464778355E-2</v>
      </c>
      <c r="Q116" s="317">
        <f t="shared" si="8"/>
        <v>26.045451461464776</v>
      </c>
      <c r="R116" s="196"/>
      <c r="S116" s="196"/>
      <c r="T116" s="196"/>
      <c r="U116" s="196"/>
      <c r="V116" s="196"/>
      <c r="W116" s="196">
        <f t="shared" si="9"/>
        <v>26.045451461464776</v>
      </c>
      <c r="X116" s="185">
        <v>68.953000000000003</v>
      </c>
      <c r="Y116" s="220">
        <v>61400646.770000003</v>
      </c>
      <c r="Z116" s="220">
        <v>37763522.951636001</v>
      </c>
      <c r="AB116" s="161">
        <f>+D116-'[2]Data FY23-24 Final'!D116</f>
        <v>30241420</v>
      </c>
      <c r="AC116" s="161">
        <f>+E116-'[2]Data FY23-24 Final'!E116</f>
        <v>3920892</v>
      </c>
      <c r="AD116" s="161">
        <f>+F116-'[2]Data FY23-24 Final'!F116</f>
        <v>26320528</v>
      </c>
      <c r="AE116" s="161">
        <f>+G116-'[2]Data FY23-24 Final'!G116</f>
        <v>47910.62</v>
      </c>
      <c r="AF116" s="186">
        <f>+H116-'[2]Data FY23-24 Final'!H116</f>
        <v>0</v>
      </c>
      <c r="AG116" s="186">
        <f>+I116-'[2]Data FY23-24 Final'!I116</f>
        <v>-0.99999999999999867</v>
      </c>
      <c r="AH116" s="186">
        <f>+J116-'[2]Data FY23-24 Final'!J116</f>
        <v>1</v>
      </c>
      <c r="AI116" s="186">
        <f>+K116-'[2]Data FY23-24 Final'!K116</f>
        <v>0</v>
      </c>
      <c r="AJ116" s="186">
        <f>+L116-'[2]Data FY23-24 Final'!L116</f>
        <v>0</v>
      </c>
      <c r="AK116" s="186">
        <f>+M116-'[2]Data FY23-24 Final'!M116</f>
        <v>0</v>
      </c>
      <c r="AL116" s="186">
        <f>+N116-'[2]Data FY23-24 Final'!N116</f>
        <v>0</v>
      </c>
      <c r="AM116" s="186">
        <f>+O116-'[2]Data FY23-24 Final'!O116</f>
        <v>0</v>
      </c>
      <c r="AN116" s="186">
        <f>+P116-'[2]Data FY23-24 Final'!P116</f>
        <v>5.6451461464778356E-2</v>
      </c>
      <c r="AO116" s="186">
        <f>+Q116-'[2]Data FY23-24 Final'!Q116</f>
        <v>1.0564514614647749</v>
      </c>
      <c r="AP116" s="186">
        <f>+R116-'[2]Data FY23-24 Final'!R116</f>
        <v>-2.4159999999999999</v>
      </c>
      <c r="AQ116" s="186">
        <f>+S116-'[2]Data FY23-24 Final'!S116</f>
        <v>0</v>
      </c>
      <c r="AR116" s="186">
        <f>+T116-'[2]Data FY23-24 Final'!T116</f>
        <v>0</v>
      </c>
      <c r="AS116" s="186">
        <f>+U116-'[2]Data FY23-24 Final'!U116</f>
        <v>0</v>
      </c>
      <c r="AT116" s="186">
        <f>+V116-'[2]Data FY23-24 Final'!V116</f>
        <v>0</v>
      </c>
      <c r="AU116" s="186">
        <f>+W116-'[2]Data FY23-24 Final'!W116</f>
        <v>-1.3595485385352255</v>
      </c>
      <c r="AV116" s="186">
        <f>+X116-'[2]Data FY23-24 Final'!X116</f>
        <v>0</v>
      </c>
      <c r="AW116" s="161">
        <f>+Y116-'[2]Data FY23-24 Final'!Y116</f>
        <v>489057.8900000006</v>
      </c>
      <c r="AX116" s="161">
        <f>+Z116-'[2]Data FY23-24 Final'!Z116</f>
        <v>-620300.40448400378</v>
      </c>
    </row>
    <row r="117" spans="1:50" s="154" customFormat="1" ht="13" x14ac:dyDescent="0.3">
      <c r="A117" s="187" t="s">
        <v>322</v>
      </c>
      <c r="B117" s="187" t="s">
        <v>321</v>
      </c>
      <c r="C117" s="194" t="s">
        <v>323</v>
      </c>
      <c r="D117" s="349">
        <v>24945150</v>
      </c>
      <c r="E117" s="349">
        <v>0</v>
      </c>
      <c r="F117" s="349">
        <v>24945150</v>
      </c>
      <c r="G117" s="350">
        <v>2408.89</v>
      </c>
      <c r="H117" s="348">
        <v>27</v>
      </c>
      <c r="I117" s="348">
        <v>3.1009999999999991</v>
      </c>
      <c r="J117" s="210">
        <f t="shared" si="12"/>
        <v>23.899000000000001</v>
      </c>
      <c r="K117" s="185">
        <v>0</v>
      </c>
      <c r="L117" s="197">
        <v>0</v>
      </c>
      <c r="M117" s="185">
        <v>0</v>
      </c>
      <c r="N117" s="210">
        <v>0</v>
      </c>
      <c r="O117" s="316">
        <v>9.2619999999999987</v>
      </c>
      <c r="P117" s="211">
        <f t="shared" si="7"/>
        <v>9.6567469027045341E-2</v>
      </c>
      <c r="Q117" s="317">
        <f t="shared" si="8"/>
        <v>33.257567469027045</v>
      </c>
      <c r="R117" s="196"/>
      <c r="S117" s="196"/>
      <c r="T117" s="196"/>
      <c r="U117" s="196"/>
      <c r="V117" s="196"/>
      <c r="W117" s="196">
        <f t="shared" si="9"/>
        <v>33.257567469027045</v>
      </c>
      <c r="X117" s="185">
        <v>153.51899999999998</v>
      </c>
      <c r="Y117" s="220">
        <v>4196156.5199999996</v>
      </c>
      <c r="Z117" s="220">
        <v>3497649.5819889996</v>
      </c>
      <c r="AB117" s="161">
        <f>+D117-'[2]Data FY23-24 Final'!D117</f>
        <v>373610</v>
      </c>
      <c r="AC117" s="161">
        <f>+E117-'[2]Data FY23-24 Final'!E117</f>
        <v>0</v>
      </c>
      <c r="AD117" s="161">
        <f>+F117-'[2]Data FY23-24 Final'!F117</f>
        <v>373610</v>
      </c>
      <c r="AE117" s="161">
        <f>+G117-'[2]Data FY23-24 Final'!G117</f>
        <v>234.88999999999987</v>
      </c>
      <c r="AF117" s="186">
        <f>+H117-'[2]Data FY23-24 Final'!H117</f>
        <v>0</v>
      </c>
      <c r="AG117" s="186">
        <f>+I117-'[2]Data FY23-24 Final'!I117</f>
        <v>-1.0000000000000009</v>
      </c>
      <c r="AH117" s="186">
        <f>+J117-'[2]Data FY23-24 Final'!J117</f>
        <v>1</v>
      </c>
      <c r="AI117" s="186">
        <f>+K117-'[2]Data FY23-24 Final'!K117</f>
        <v>0</v>
      </c>
      <c r="AJ117" s="186">
        <f>+L117-'[2]Data FY23-24 Final'!L117</f>
        <v>0</v>
      </c>
      <c r="AK117" s="186">
        <f>+M117-'[2]Data FY23-24 Final'!M117</f>
        <v>0</v>
      </c>
      <c r="AL117" s="186">
        <f>+N117-'[2]Data FY23-24 Final'!N117</f>
        <v>0</v>
      </c>
      <c r="AM117" s="186">
        <f>+O117-'[2]Data FY23-24 Final'!O117</f>
        <v>-0.83100000000000129</v>
      </c>
      <c r="AN117" s="186">
        <f>+P117-'[2]Data FY23-24 Final'!P117</f>
        <v>8.5674690270453463E-3</v>
      </c>
      <c r="AO117" s="186">
        <f>+Q117-'[2]Data FY23-24 Final'!Q117</f>
        <v>0.17756746902704634</v>
      </c>
      <c r="AP117" s="186">
        <f>+R117-'[2]Data FY23-24 Final'!R117</f>
        <v>-3.6629999999999998</v>
      </c>
      <c r="AQ117" s="186">
        <f>+S117-'[2]Data FY23-24 Final'!S117</f>
        <v>0</v>
      </c>
      <c r="AR117" s="186">
        <f>+T117-'[2]Data FY23-24 Final'!T117</f>
        <v>0</v>
      </c>
      <c r="AS117" s="186">
        <f>+U117-'[2]Data FY23-24 Final'!U117</f>
        <v>0</v>
      </c>
      <c r="AT117" s="186">
        <f>+V117-'[2]Data FY23-24 Final'!V117</f>
        <v>0</v>
      </c>
      <c r="AU117" s="186">
        <f>+W117-'[2]Data FY23-24 Final'!W117</f>
        <v>-3.4854325309729575</v>
      </c>
      <c r="AV117" s="186">
        <f>+X117-'[2]Data FY23-24 Final'!X117</f>
        <v>0</v>
      </c>
      <c r="AW117" s="161">
        <f>+Y117-'[2]Data FY23-24 Final'!Y117</f>
        <v>232943.49999999953</v>
      </c>
      <c r="AX117" s="161">
        <f>+Z117-'[2]Data FY23-24 Final'!Z117</f>
        <v>170425.31644899957</v>
      </c>
    </row>
    <row r="118" spans="1:50" s="154" customFormat="1" x14ac:dyDescent="0.25">
      <c r="A118" s="187" t="s">
        <v>324</v>
      </c>
      <c r="B118" s="187" t="s">
        <v>325</v>
      </c>
      <c r="C118" s="194" t="s">
        <v>326</v>
      </c>
      <c r="D118" s="220">
        <v>268486258</v>
      </c>
      <c r="E118" s="220">
        <v>0</v>
      </c>
      <c r="F118" s="220">
        <f t="shared" si="10"/>
        <v>268486258</v>
      </c>
      <c r="G118" s="221">
        <v>14085.04</v>
      </c>
      <c r="H118" s="348">
        <v>27</v>
      </c>
      <c r="I118" s="348">
        <v>0</v>
      </c>
      <c r="J118" s="210">
        <f t="shared" si="12"/>
        <v>27</v>
      </c>
      <c r="K118" s="185">
        <v>0</v>
      </c>
      <c r="L118" s="197">
        <v>0</v>
      </c>
      <c r="M118" s="185">
        <v>0</v>
      </c>
      <c r="N118" s="210">
        <v>0</v>
      </c>
      <c r="O118" s="316">
        <v>1.49</v>
      </c>
      <c r="P118" s="211">
        <f t="shared" si="7"/>
        <v>5.246093451829479E-2</v>
      </c>
      <c r="Q118" s="317">
        <f t="shared" si="8"/>
        <v>28.542460934518292</v>
      </c>
      <c r="R118" s="196"/>
      <c r="S118" s="196"/>
      <c r="T118" s="196"/>
      <c r="U118" s="196"/>
      <c r="V118" s="196"/>
      <c r="W118" s="196">
        <f t="shared" si="9"/>
        <v>28.542460934518292</v>
      </c>
      <c r="X118" s="185">
        <v>52.987000000000002</v>
      </c>
      <c r="Y118" s="220">
        <v>14838689.050000001</v>
      </c>
      <c r="Z118" s="220">
        <v>6977024.3885000004</v>
      </c>
      <c r="AB118" s="161">
        <f>+D118-'[2]Data FY23-24 Final'!D118</f>
        <v>7423887</v>
      </c>
      <c r="AC118" s="161">
        <f>+E118-'[2]Data FY23-24 Final'!E118</f>
        <v>0</v>
      </c>
      <c r="AD118" s="161">
        <f>+F118-'[2]Data FY23-24 Final'!F118</f>
        <v>7423887</v>
      </c>
      <c r="AE118" s="161">
        <f>+G118-'[2]Data FY23-24 Final'!G118</f>
        <v>14085.04</v>
      </c>
      <c r="AF118" s="186">
        <f>+H118-'[2]Data FY23-24 Final'!H118</f>
        <v>0</v>
      </c>
      <c r="AG118" s="186">
        <f>+I118-'[2]Data FY23-24 Final'!I118</f>
        <v>0</v>
      </c>
      <c r="AH118" s="186">
        <f>+J118-'[2]Data FY23-24 Final'!J118</f>
        <v>0</v>
      </c>
      <c r="AI118" s="186">
        <f>+K118-'[2]Data FY23-24 Final'!K118</f>
        <v>0</v>
      </c>
      <c r="AJ118" s="186">
        <f>+L118-'[2]Data FY23-24 Final'!L118</f>
        <v>0</v>
      </c>
      <c r="AK118" s="186">
        <f>+M118-'[2]Data FY23-24 Final'!M118</f>
        <v>0</v>
      </c>
      <c r="AL118" s="186">
        <f>+N118-'[2]Data FY23-24 Final'!N118</f>
        <v>0</v>
      </c>
      <c r="AM118" s="186">
        <f>+O118-'[2]Data FY23-24 Final'!O118</f>
        <v>-7.7029999999999994</v>
      </c>
      <c r="AN118" s="186">
        <f>+P118-'[2]Data FY23-24 Final'!P118</f>
        <v>5.246093451829479E-2</v>
      </c>
      <c r="AO118" s="186">
        <f>+Q118-'[2]Data FY23-24 Final'!Q118</f>
        <v>-7.6505390654817056</v>
      </c>
      <c r="AP118" s="186">
        <f>+R118-'[2]Data FY23-24 Final'!R118</f>
        <v>-12.747</v>
      </c>
      <c r="AQ118" s="186">
        <f>+S118-'[2]Data FY23-24 Final'!S118</f>
        <v>0</v>
      </c>
      <c r="AR118" s="186">
        <f>+T118-'[2]Data FY23-24 Final'!T118</f>
        <v>0</v>
      </c>
      <c r="AS118" s="186">
        <f>+U118-'[2]Data FY23-24 Final'!U118</f>
        <v>0</v>
      </c>
      <c r="AT118" s="186">
        <f>+V118-'[2]Data FY23-24 Final'!V118</f>
        <v>0</v>
      </c>
      <c r="AU118" s="186">
        <f>+W118-'[2]Data FY23-24 Final'!W118</f>
        <v>-20.397539065481705</v>
      </c>
      <c r="AV118" s="186">
        <f>+X118-'[2]Data FY23-24 Final'!X118</f>
        <v>0</v>
      </c>
      <c r="AW118" s="161">
        <f>+Y118-'[2]Data FY23-24 Final'!Y118</f>
        <v>258925.66999999993</v>
      </c>
      <c r="AX118" s="161">
        <f>+Z118-'[2]Data FY23-24 Final'!Z118</f>
        <v>38286.115499999374</v>
      </c>
    </row>
    <row r="119" spans="1:50" s="154" customFormat="1" x14ac:dyDescent="0.25">
      <c r="A119" s="187" t="s">
        <v>327</v>
      </c>
      <c r="B119" s="187" t="s">
        <v>325</v>
      </c>
      <c r="C119" s="194" t="s">
        <v>328</v>
      </c>
      <c r="D119" s="220">
        <v>362715100</v>
      </c>
      <c r="E119" s="220">
        <v>0</v>
      </c>
      <c r="F119" s="220">
        <f t="shared" si="10"/>
        <v>362715100</v>
      </c>
      <c r="G119" s="221">
        <v>77370.19</v>
      </c>
      <c r="H119" s="348">
        <v>27</v>
      </c>
      <c r="I119" s="348">
        <v>0</v>
      </c>
      <c r="J119" s="210">
        <f t="shared" si="12"/>
        <v>27</v>
      </c>
      <c r="K119" s="185">
        <v>0</v>
      </c>
      <c r="L119" s="197">
        <v>0</v>
      </c>
      <c r="M119" s="185">
        <v>0</v>
      </c>
      <c r="N119" s="210">
        <v>0</v>
      </c>
      <c r="O119" s="316">
        <v>1.516</v>
      </c>
      <c r="P119" s="211">
        <f t="shared" si="7"/>
        <v>0.21330843408504363</v>
      </c>
      <c r="Q119" s="317">
        <f t="shared" si="8"/>
        <v>28.729308434085041</v>
      </c>
      <c r="R119" s="196"/>
      <c r="S119" s="196"/>
      <c r="T119" s="196"/>
      <c r="U119" s="196"/>
      <c r="V119" s="196"/>
      <c r="W119" s="196">
        <f t="shared" si="9"/>
        <v>28.729308434085041</v>
      </c>
      <c r="X119" s="185">
        <v>94.37700000000001</v>
      </c>
      <c r="Y119" s="220">
        <v>34948061.130000003</v>
      </c>
      <c r="Z119" s="220">
        <v>24438785.701000005</v>
      </c>
      <c r="AB119" s="161">
        <f>+D119-'[2]Data FY23-24 Final'!D119</f>
        <v>15075910</v>
      </c>
      <c r="AC119" s="161">
        <f>+E119-'[2]Data FY23-24 Final'!E119</f>
        <v>0</v>
      </c>
      <c r="AD119" s="161">
        <f>+F119-'[2]Data FY23-24 Final'!F119</f>
        <v>15075910</v>
      </c>
      <c r="AE119" s="161">
        <f>+G119-'[2]Data FY23-24 Final'!G119</f>
        <v>0.19000000000232831</v>
      </c>
      <c r="AF119" s="186">
        <f>+H119-'[2]Data FY23-24 Final'!H119</f>
        <v>0</v>
      </c>
      <c r="AG119" s="186">
        <f>+I119-'[2]Data FY23-24 Final'!I119</f>
        <v>0</v>
      </c>
      <c r="AH119" s="186">
        <f>+J119-'[2]Data FY23-24 Final'!J119</f>
        <v>0</v>
      </c>
      <c r="AI119" s="186">
        <f>+K119-'[2]Data FY23-24 Final'!K119</f>
        <v>0</v>
      </c>
      <c r="AJ119" s="186">
        <f>+L119-'[2]Data FY23-24 Final'!L119</f>
        <v>0</v>
      </c>
      <c r="AK119" s="186">
        <f>+M119-'[2]Data FY23-24 Final'!M119</f>
        <v>0</v>
      </c>
      <c r="AL119" s="186">
        <f>+N119-'[2]Data FY23-24 Final'!N119</f>
        <v>0</v>
      </c>
      <c r="AM119" s="186">
        <f>+O119-'[2]Data FY23-24 Final'!O119</f>
        <v>-6.4000000000000057E-2</v>
      </c>
      <c r="AN119" s="186">
        <f>+P119-'[2]Data FY23-24 Final'!P119</f>
        <v>-9.6915659149563738E-3</v>
      </c>
      <c r="AO119" s="186">
        <f>+Q119-'[2]Data FY23-24 Final'!Q119</f>
        <v>-7.3691565914959511E-2</v>
      </c>
      <c r="AP119" s="186">
        <f>+R119-'[2]Data FY23-24 Final'!R119</f>
        <v>-8.0890000000000004</v>
      </c>
      <c r="AQ119" s="186">
        <f>+S119-'[2]Data FY23-24 Final'!S119</f>
        <v>0</v>
      </c>
      <c r="AR119" s="186">
        <f>+T119-'[2]Data FY23-24 Final'!T119</f>
        <v>0</v>
      </c>
      <c r="AS119" s="186">
        <f>+U119-'[2]Data FY23-24 Final'!U119</f>
        <v>0</v>
      </c>
      <c r="AT119" s="186">
        <f>+V119-'[2]Data FY23-24 Final'!V119</f>
        <v>0</v>
      </c>
      <c r="AU119" s="186">
        <f>+W119-'[2]Data FY23-24 Final'!W119</f>
        <v>-8.1626915659149617</v>
      </c>
      <c r="AV119" s="186">
        <f>+X119-'[2]Data FY23-24 Final'!X119</f>
        <v>0</v>
      </c>
      <c r="AW119" s="161">
        <f>+Y119-'[2]Data FY23-24 Final'!Y119</f>
        <v>314999.45000000298</v>
      </c>
      <c r="AX119" s="161">
        <f>+Z119-'[2]Data FY23-24 Final'!Z119</f>
        <v>-90458.488999992609</v>
      </c>
    </row>
    <row r="120" spans="1:50" s="154" customFormat="1" x14ac:dyDescent="0.25">
      <c r="A120" s="187" t="s">
        <v>329</v>
      </c>
      <c r="B120" s="187" t="s">
        <v>325</v>
      </c>
      <c r="C120" s="194" t="s">
        <v>330</v>
      </c>
      <c r="D120" s="220">
        <v>33143540</v>
      </c>
      <c r="E120" s="220">
        <v>0</v>
      </c>
      <c r="F120" s="220">
        <f t="shared" si="10"/>
        <v>33143540</v>
      </c>
      <c r="G120" s="221">
        <v>2754.34</v>
      </c>
      <c r="H120" s="348">
        <v>27</v>
      </c>
      <c r="I120" s="348">
        <v>0</v>
      </c>
      <c r="J120" s="210">
        <f t="shared" si="12"/>
        <v>27</v>
      </c>
      <c r="K120" s="185">
        <v>0</v>
      </c>
      <c r="L120" s="197">
        <v>0</v>
      </c>
      <c r="M120" s="185">
        <v>0.28999999999999998</v>
      </c>
      <c r="N120" s="210">
        <v>0</v>
      </c>
      <c r="O120" s="316">
        <v>0</v>
      </c>
      <c r="P120" s="211">
        <f t="shared" si="7"/>
        <v>8.3103373990828983E-2</v>
      </c>
      <c r="Q120" s="317">
        <f t="shared" si="8"/>
        <v>27.37310337399083</v>
      </c>
      <c r="R120" s="196"/>
      <c r="S120" s="196"/>
      <c r="T120" s="196"/>
      <c r="U120" s="196"/>
      <c r="V120" s="196"/>
      <c r="W120" s="196">
        <f t="shared" si="9"/>
        <v>27.37310337399083</v>
      </c>
      <c r="X120" s="185">
        <v>107.947</v>
      </c>
      <c r="Y120" s="220">
        <v>3652046.91</v>
      </c>
      <c r="Z120" s="220">
        <v>2682880.0049999999</v>
      </c>
      <c r="AB120" s="161">
        <f>+D120-'[2]Data FY23-24 Final'!D120</f>
        <v>1450830</v>
      </c>
      <c r="AC120" s="161">
        <f>+E120-'[2]Data FY23-24 Final'!E120</f>
        <v>0</v>
      </c>
      <c r="AD120" s="161">
        <f>+F120-'[2]Data FY23-24 Final'!F120</f>
        <v>1450830</v>
      </c>
      <c r="AE120" s="161">
        <f>+G120-'[2]Data FY23-24 Final'!G120</f>
        <v>0</v>
      </c>
      <c r="AF120" s="186">
        <f>+H120-'[2]Data FY23-24 Final'!H120</f>
        <v>0</v>
      </c>
      <c r="AG120" s="186">
        <f>+I120-'[2]Data FY23-24 Final'!I120</f>
        <v>0</v>
      </c>
      <c r="AH120" s="186">
        <f>+J120-'[2]Data FY23-24 Final'!J120</f>
        <v>0</v>
      </c>
      <c r="AI120" s="186">
        <f>+K120-'[2]Data FY23-24 Final'!K120</f>
        <v>0</v>
      </c>
      <c r="AJ120" s="186">
        <f>+L120-'[2]Data FY23-24 Final'!L120</f>
        <v>0</v>
      </c>
      <c r="AK120" s="186">
        <f>+M120-'[2]Data FY23-24 Final'!M120</f>
        <v>-1.3000000000000012E-2</v>
      </c>
      <c r="AL120" s="186">
        <f>+N120-'[2]Data FY23-24 Final'!N120</f>
        <v>0</v>
      </c>
      <c r="AM120" s="186">
        <f>+O120-'[2]Data FY23-24 Final'!O120</f>
        <v>0</v>
      </c>
      <c r="AN120" s="186">
        <f>+P120-'[2]Data FY23-24 Final'!P120</f>
        <v>-3.8966260091710114E-3</v>
      </c>
      <c r="AO120" s="186">
        <f>+Q120-'[2]Data FY23-24 Final'!Q120</f>
        <v>-1.6896626009170745E-2</v>
      </c>
      <c r="AP120" s="186">
        <f>+R120-'[2]Data FY23-24 Final'!R120</f>
        <v>-13.5</v>
      </c>
      <c r="AQ120" s="186">
        <f>+S120-'[2]Data FY23-24 Final'!S120</f>
        <v>0</v>
      </c>
      <c r="AR120" s="186">
        <f>+T120-'[2]Data FY23-24 Final'!T120</f>
        <v>0</v>
      </c>
      <c r="AS120" s="186">
        <f>+U120-'[2]Data FY23-24 Final'!U120</f>
        <v>0</v>
      </c>
      <c r="AT120" s="186">
        <f>+V120-'[2]Data FY23-24 Final'!V120</f>
        <v>0</v>
      </c>
      <c r="AU120" s="186">
        <f>+W120-'[2]Data FY23-24 Final'!W120</f>
        <v>-13.516896626009171</v>
      </c>
      <c r="AV120" s="186">
        <f>+X120-'[2]Data FY23-24 Final'!X120</f>
        <v>0</v>
      </c>
      <c r="AW120" s="161">
        <f>+Y120-'[2]Data FY23-24 Final'!Y120</f>
        <v>142987.30000000028</v>
      </c>
      <c r="AX120" s="161">
        <f>+Z120-'[2]Data FY23-24 Final'!Z120</f>
        <v>102501.88499999978</v>
      </c>
    </row>
    <row r="121" spans="1:50" s="154" customFormat="1" x14ac:dyDescent="0.25">
      <c r="A121" s="187" t="s">
        <v>331</v>
      </c>
      <c r="B121" s="187" t="s">
        <v>325</v>
      </c>
      <c r="C121" s="194" t="s">
        <v>332</v>
      </c>
      <c r="D121" s="220">
        <v>521035400</v>
      </c>
      <c r="E121" s="220">
        <v>0</v>
      </c>
      <c r="F121" s="220">
        <f t="shared" si="10"/>
        <v>521035400</v>
      </c>
      <c r="G121" s="221">
        <v>5769.75</v>
      </c>
      <c r="H121" s="348">
        <v>24.545000000000002</v>
      </c>
      <c r="I121" s="348">
        <v>0</v>
      </c>
      <c r="J121" s="352">
        <f>+H121-I121-K121-L121</f>
        <v>17.305000000000003</v>
      </c>
      <c r="K121" s="353">
        <v>0.61499999999999999</v>
      </c>
      <c r="L121" s="354">
        <v>6.625</v>
      </c>
      <c r="M121" s="185">
        <v>0</v>
      </c>
      <c r="N121" s="210">
        <v>0</v>
      </c>
      <c r="O121" s="316">
        <v>0</v>
      </c>
      <c r="P121" s="211">
        <f t="shared" si="7"/>
        <v>1.1073623788326091E-2</v>
      </c>
      <c r="Q121" s="317">
        <f t="shared" si="8"/>
        <v>24.556073623788329</v>
      </c>
      <c r="R121" s="196"/>
      <c r="S121" s="196"/>
      <c r="T121" s="196"/>
      <c r="U121" s="196"/>
      <c r="V121" s="196"/>
      <c r="W121" s="196">
        <f t="shared" si="9"/>
        <v>24.556073623788329</v>
      </c>
      <c r="X121" s="185">
        <v>17.305</v>
      </c>
      <c r="Y121" s="220">
        <v>9405775.4199999999</v>
      </c>
      <c r="Z121" s="220">
        <v>318.36748736014124</v>
      </c>
      <c r="AB121" s="161">
        <f>+D121-'[2]Data FY23-24 Final'!D121</f>
        <v>4073440</v>
      </c>
      <c r="AC121" s="161">
        <f>+E121-'[2]Data FY23-24 Final'!E121</f>
        <v>0</v>
      </c>
      <c r="AD121" s="161">
        <f>+F121-'[2]Data FY23-24 Final'!F121</f>
        <v>4073440</v>
      </c>
      <c r="AE121" s="161">
        <f>+G121-'[2]Data FY23-24 Final'!G121</f>
        <v>0</v>
      </c>
      <c r="AF121" s="186">
        <f>+H121-'[2]Data FY23-24 Final'!H121</f>
        <v>0</v>
      </c>
      <c r="AG121" s="186">
        <f>+I121-'[2]Data FY23-24 Final'!I121</f>
        <v>0</v>
      </c>
      <c r="AH121" s="186">
        <f>+J121-'[2]Data FY23-24 Final'!J121</f>
        <v>0.16000000000000369</v>
      </c>
      <c r="AI121" s="186">
        <f>+K121-'[2]Data FY23-24 Final'!K121</f>
        <v>-7.7999999999999958E-2</v>
      </c>
      <c r="AJ121" s="186">
        <f>+L121-'[2]Data FY23-24 Final'!L121</f>
        <v>-8.1999999999999851E-2</v>
      </c>
      <c r="AK121" s="186">
        <f>+M121-'[2]Data FY23-24 Final'!M121</f>
        <v>0</v>
      </c>
      <c r="AL121" s="186">
        <f>+N121-'[2]Data FY23-24 Final'!N121</f>
        <v>0</v>
      </c>
      <c r="AM121" s="186">
        <f>+O121-'[2]Data FY23-24 Final'!O121</f>
        <v>0</v>
      </c>
      <c r="AN121" s="186">
        <f>+P121-'[2]Data FY23-24 Final'!P121</f>
        <v>7.3623788326091996E-5</v>
      </c>
      <c r="AO121" s="186">
        <f>+Q121-'[2]Data FY23-24 Final'!Q121</f>
        <v>7.3623788328092132E-5</v>
      </c>
      <c r="AP121" s="186">
        <f>+R121-'[2]Data FY23-24 Final'!R121</f>
        <v>-12.5</v>
      </c>
      <c r="AQ121" s="186">
        <f>+S121-'[2]Data FY23-24 Final'!S121</f>
        <v>0</v>
      </c>
      <c r="AR121" s="186">
        <f>+T121-'[2]Data FY23-24 Final'!T121</f>
        <v>0</v>
      </c>
      <c r="AS121" s="186">
        <f>+U121-'[2]Data FY23-24 Final'!U121</f>
        <v>0</v>
      </c>
      <c r="AT121" s="186">
        <f>+V121-'[2]Data FY23-24 Final'!V121</f>
        <v>0</v>
      </c>
      <c r="AU121" s="186">
        <f>+W121-'[2]Data FY23-24 Final'!W121</f>
        <v>-12.499926376211668</v>
      </c>
      <c r="AV121" s="186">
        <f>+X121-'[2]Data FY23-24 Final'!X121</f>
        <v>0</v>
      </c>
      <c r="AW121" s="161">
        <f>+Y121-'[2]Data FY23-24 Final'!Y121</f>
        <v>156415.81000000052</v>
      </c>
      <c r="AX121" s="161">
        <f>+Z121-'[2]Data FY23-24 Final'!Z121</f>
        <v>318.36748735955916</v>
      </c>
    </row>
    <row r="122" spans="1:50" s="154" customFormat="1" ht="13" x14ac:dyDescent="0.25">
      <c r="A122" s="187" t="s">
        <v>333</v>
      </c>
      <c r="B122" s="187" t="s">
        <v>334</v>
      </c>
      <c r="C122" s="194" t="s">
        <v>335</v>
      </c>
      <c r="D122" s="321">
        <v>87875102</v>
      </c>
      <c r="E122" s="321">
        <v>4731316</v>
      </c>
      <c r="F122" s="321">
        <v>83143786</v>
      </c>
      <c r="G122" s="321">
        <v>388.75</v>
      </c>
      <c r="H122" s="348">
        <v>27</v>
      </c>
      <c r="I122" s="348">
        <v>0</v>
      </c>
      <c r="J122" s="210">
        <f t="shared" ref="J122:J130" si="13">+H122-I122</f>
        <v>27</v>
      </c>
      <c r="K122" s="185">
        <v>0</v>
      </c>
      <c r="L122" s="197">
        <v>0</v>
      </c>
      <c r="M122" s="185">
        <v>0</v>
      </c>
      <c r="N122" s="210">
        <v>0</v>
      </c>
      <c r="O122" s="316">
        <v>0</v>
      </c>
      <c r="P122" s="211">
        <f t="shared" si="7"/>
        <v>4.675635049864099E-3</v>
      </c>
      <c r="Q122" s="317">
        <f t="shared" si="8"/>
        <v>27.004675635049864</v>
      </c>
      <c r="R122" s="196"/>
      <c r="S122" s="196"/>
      <c r="T122" s="196"/>
      <c r="U122" s="196"/>
      <c r="V122" s="196"/>
      <c r="W122" s="196">
        <f t="shared" si="9"/>
        <v>27.004675635049864</v>
      </c>
      <c r="X122" s="185">
        <v>173.20099999999999</v>
      </c>
      <c r="Y122" s="220">
        <v>15517499.060000001</v>
      </c>
      <c r="Z122" s="220">
        <v>12804611.037599999</v>
      </c>
      <c r="AB122" s="161">
        <f>+D122-'[2]Data FY23-24 Final'!D122</f>
        <v>4441597</v>
      </c>
      <c r="AC122" s="161">
        <f>+E122-'[2]Data FY23-24 Final'!E122</f>
        <v>2298089</v>
      </c>
      <c r="AD122" s="161">
        <f>+F122-'[2]Data FY23-24 Final'!F122</f>
        <v>2143508</v>
      </c>
      <c r="AE122" s="161">
        <f>+G122-'[2]Data FY23-24 Final'!G122</f>
        <v>-29039.45</v>
      </c>
      <c r="AF122" s="186">
        <f>+H122-'[2]Data FY23-24 Final'!H122</f>
        <v>0</v>
      </c>
      <c r="AG122" s="186">
        <f>+I122-'[2]Data FY23-24 Final'!I122</f>
        <v>0</v>
      </c>
      <c r="AH122" s="186">
        <f>+J122-'[2]Data FY23-24 Final'!J122</f>
        <v>0</v>
      </c>
      <c r="AI122" s="186">
        <f>+K122-'[2]Data FY23-24 Final'!K122</f>
        <v>0</v>
      </c>
      <c r="AJ122" s="186">
        <f>+L122-'[2]Data FY23-24 Final'!L122</f>
        <v>0</v>
      </c>
      <c r="AK122" s="186">
        <f>+M122-'[2]Data FY23-24 Final'!M122</f>
        <v>0</v>
      </c>
      <c r="AL122" s="186">
        <f>+N122-'[2]Data FY23-24 Final'!N122</f>
        <v>0</v>
      </c>
      <c r="AM122" s="186">
        <f>+O122-'[2]Data FY23-24 Final'!O122</f>
        <v>0</v>
      </c>
      <c r="AN122" s="186">
        <f>+P122-'[2]Data FY23-24 Final'!P122</f>
        <v>-0.35832436495013587</v>
      </c>
      <c r="AO122" s="186">
        <f>+Q122-'[2]Data FY23-24 Final'!Q122</f>
        <v>-0.35832436495013553</v>
      </c>
      <c r="AP122" s="186">
        <f>+R122-'[2]Data FY23-24 Final'!R122</f>
        <v>-5.4560000000000004</v>
      </c>
      <c r="AQ122" s="186">
        <f>+S122-'[2]Data FY23-24 Final'!S122</f>
        <v>0</v>
      </c>
      <c r="AR122" s="186">
        <f>+T122-'[2]Data FY23-24 Final'!T122</f>
        <v>0</v>
      </c>
      <c r="AS122" s="186">
        <f>+U122-'[2]Data FY23-24 Final'!U122</f>
        <v>0</v>
      </c>
      <c r="AT122" s="186">
        <f>+V122-'[2]Data FY23-24 Final'!V122</f>
        <v>0</v>
      </c>
      <c r="AU122" s="186">
        <f>+W122-'[2]Data FY23-24 Final'!W122</f>
        <v>-5.8143243649501386</v>
      </c>
      <c r="AV122" s="186">
        <f>+X122-'[2]Data FY23-24 Final'!X122</f>
        <v>0</v>
      </c>
      <c r="AW122" s="161">
        <f>+Y122-'[2]Data FY23-24 Final'!Y122</f>
        <v>286631.73000000045</v>
      </c>
      <c r="AX122" s="161">
        <f>+Z122-'[2]Data FY23-24 Final'!Z122</f>
        <v>209177.5335999988</v>
      </c>
    </row>
    <row r="123" spans="1:50" s="154" customFormat="1" ht="13" x14ac:dyDescent="0.25">
      <c r="A123" s="187" t="s">
        <v>336</v>
      </c>
      <c r="B123" s="187" t="s">
        <v>334</v>
      </c>
      <c r="C123" s="194" t="s">
        <v>337</v>
      </c>
      <c r="D123" s="321">
        <v>37620661</v>
      </c>
      <c r="E123" s="321">
        <v>0</v>
      </c>
      <c r="F123" s="321">
        <v>37620661</v>
      </c>
      <c r="G123" s="321">
        <v>172.56</v>
      </c>
      <c r="H123" s="348">
        <v>27</v>
      </c>
      <c r="I123" s="348">
        <v>0</v>
      </c>
      <c r="J123" s="210">
        <f t="shared" si="13"/>
        <v>27</v>
      </c>
      <c r="K123" s="185">
        <v>0</v>
      </c>
      <c r="L123" s="197">
        <v>0</v>
      </c>
      <c r="M123" s="185">
        <v>0</v>
      </c>
      <c r="N123" s="210">
        <v>0</v>
      </c>
      <c r="O123" s="316">
        <v>0</v>
      </c>
      <c r="P123" s="211">
        <f t="shared" si="7"/>
        <v>4.5868412572548896E-3</v>
      </c>
      <c r="Q123" s="317">
        <f t="shared" si="8"/>
        <v>27.004586841257254</v>
      </c>
      <c r="R123" s="196"/>
      <c r="S123" s="196"/>
      <c r="T123" s="196"/>
      <c r="U123" s="196"/>
      <c r="V123" s="196"/>
      <c r="W123" s="196">
        <f t="shared" si="9"/>
        <v>27.004586841257254</v>
      </c>
      <c r="X123" s="185">
        <v>193.84199999999998</v>
      </c>
      <c r="Y123" s="220">
        <v>8202594.7800000003</v>
      </c>
      <c r="Z123" s="220">
        <v>6862365.6442999998</v>
      </c>
      <c r="AB123" s="161">
        <f>+D123-'[2]Data FY23-24 Final'!D123</f>
        <v>735022</v>
      </c>
      <c r="AC123" s="161">
        <f>+E123-'[2]Data FY23-24 Final'!E123</f>
        <v>0</v>
      </c>
      <c r="AD123" s="161">
        <f>+F123-'[2]Data FY23-24 Final'!F123</f>
        <v>735022</v>
      </c>
      <c r="AE123" s="161">
        <f>+G123-'[2]Data FY23-24 Final'!G123</f>
        <v>-933.63000000000011</v>
      </c>
      <c r="AF123" s="186">
        <f>+H123-'[2]Data FY23-24 Final'!H123</f>
        <v>0</v>
      </c>
      <c r="AG123" s="186">
        <f>+I123-'[2]Data FY23-24 Final'!I123</f>
        <v>0</v>
      </c>
      <c r="AH123" s="186">
        <f>+J123-'[2]Data FY23-24 Final'!J123</f>
        <v>0</v>
      </c>
      <c r="AI123" s="186">
        <f>+K123-'[2]Data FY23-24 Final'!K123</f>
        <v>0</v>
      </c>
      <c r="AJ123" s="186">
        <f>+L123-'[2]Data FY23-24 Final'!L123</f>
        <v>0</v>
      </c>
      <c r="AK123" s="186">
        <f>+M123-'[2]Data FY23-24 Final'!M123</f>
        <v>0</v>
      </c>
      <c r="AL123" s="186">
        <f>+N123-'[2]Data FY23-24 Final'!N123</f>
        <v>0</v>
      </c>
      <c r="AM123" s="186">
        <f>+O123-'[2]Data FY23-24 Final'!O123</f>
        <v>0</v>
      </c>
      <c r="AN123" s="186">
        <f>+P123-'[2]Data FY23-24 Final'!P123</f>
        <v>-2.541315874274511E-2</v>
      </c>
      <c r="AO123" s="186">
        <f>+Q123-'[2]Data FY23-24 Final'!Q123</f>
        <v>-2.5413158742747299E-2</v>
      </c>
      <c r="AP123" s="186">
        <f>+R123-'[2]Data FY23-24 Final'!R123</f>
        <v>-8.1470000000000002</v>
      </c>
      <c r="AQ123" s="186">
        <f>+S123-'[2]Data FY23-24 Final'!S123</f>
        <v>0</v>
      </c>
      <c r="AR123" s="186">
        <f>+T123-'[2]Data FY23-24 Final'!T123</f>
        <v>0</v>
      </c>
      <c r="AS123" s="186">
        <f>+U123-'[2]Data FY23-24 Final'!U123</f>
        <v>0</v>
      </c>
      <c r="AT123" s="186">
        <f>+V123-'[2]Data FY23-24 Final'!V123</f>
        <v>0</v>
      </c>
      <c r="AU123" s="186">
        <f>+W123-'[2]Data FY23-24 Final'!W123</f>
        <v>-8.1724131587427458</v>
      </c>
      <c r="AV123" s="186">
        <f>+X123-'[2]Data FY23-24 Final'!X123</f>
        <v>0</v>
      </c>
      <c r="AW123" s="161">
        <f>+Y123-'[2]Data FY23-24 Final'!Y123</f>
        <v>227858.02000000048</v>
      </c>
      <c r="AX123" s="161">
        <f>+Z123-'[2]Data FY23-24 Final'!Z123</f>
        <v>70636.057300000452</v>
      </c>
    </row>
    <row r="124" spans="1:50" s="154" customFormat="1" ht="13" x14ac:dyDescent="0.3">
      <c r="A124" s="356" t="s">
        <v>338</v>
      </c>
      <c r="B124" s="187" t="s">
        <v>334</v>
      </c>
      <c r="C124" s="194" t="s">
        <v>339</v>
      </c>
      <c r="D124" s="349">
        <v>11461246</v>
      </c>
      <c r="E124" s="349">
        <v>0</v>
      </c>
      <c r="F124" s="349">
        <v>11461246</v>
      </c>
      <c r="G124" s="350">
        <v>9.0399999999999991</v>
      </c>
      <c r="H124" s="348">
        <v>25.728999999999999</v>
      </c>
      <c r="I124" s="348">
        <v>0</v>
      </c>
      <c r="J124" s="210">
        <f t="shared" si="13"/>
        <v>25.728999999999999</v>
      </c>
      <c r="K124" s="185">
        <v>0</v>
      </c>
      <c r="L124" s="197">
        <v>0</v>
      </c>
      <c r="M124" s="185">
        <v>0</v>
      </c>
      <c r="N124" s="210">
        <v>0</v>
      </c>
      <c r="O124" s="316">
        <v>0</v>
      </c>
      <c r="P124" s="211">
        <f t="shared" si="7"/>
        <v>7.8874495844518126E-4</v>
      </c>
      <c r="Q124" s="317">
        <f t="shared" si="8"/>
        <v>25.729788744958444</v>
      </c>
      <c r="R124" s="196"/>
      <c r="S124" s="196"/>
      <c r="T124" s="196"/>
      <c r="U124" s="196"/>
      <c r="V124" s="196"/>
      <c r="W124" s="196">
        <f t="shared" si="9"/>
        <v>25.729788744958444</v>
      </c>
      <c r="X124" s="185">
        <v>276.50099999999998</v>
      </c>
      <c r="Y124" s="220">
        <v>3280236.02</v>
      </c>
      <c r="Z124" s="220">
        <v>2940713.8951830002</v>
      </c>
      <c r="AB124" s="161">
        <f>+D124-'[2]Data FY23-24 Final'!D124</f>
        <v>350355</v>
      </c>
      <c r="AC124" s="161">
        <f>+E124-'[2]Data FY23-24 Final'!E124</f>
        <v>0</v>
      </c>
      <c r="AD124" s="161">
        <f>+F124-'[2]Data FY23-24 Final'!F124</f>
        <v>350355</v>
      </c>
      <c r="AE124" s="161">
        <f>+G124-'[2]Data FY23-24 Final'!G124</f>
        <v>4.0399999999999991</v>
      </c>
      <c r="AF124" s="186">
        <f>+H124-'[2]Data FY23-24 Final'!H124</f>
        <v>-1.2710000000000008</v>
      </c>
      <c r="AG124" s="186">
        <f>+I124-'[2]Data FY23-24 Final'!I124</f>
        <v>-2.2709999999999999</v>
      </c>
      <c r="AH124" s="186">
        <f>+J124-'[2]Data FY23-24 Final'!J124</f>
        <v>1</v>
      </c>
      <c r="AI124" s="186">
        <f>+K124-'[2]Data FY23-24 Final'!K124</f>
        <v>0</v>
      </c>
      <c r="AJ124" s="186">
        <f>+L124-'[2]Data FY23-24 Final'!L124</f>
        <v>0</v>
      </c>
      <c r="AK124" s="186">
        <f>+M124-'[2]Data FY23-24 Final'!M124</f>
        <v>0</v>
      </c>
      <c r="AL124" s="186">
        <f>+N124-'[2]Data FY23-24 Final'!N124</f>
        <v>0</v>
      </c>
      <c r="AM124" s="186">
        <f>+O124-'[2]Data FY23-24 Final'!O124</f>
        <v>0</v>
      </c>
      <c r="AN124" s="186">
        <f>+P124-'[2]Data FY23-24 Final'!P124</f>
        <v>7.8874495844518126E-4</v>
      </c>
      <c r="AO124" s="186">
        <f>+Q124-'[2]Data FY23-24 Final'!Q124</f>
        <v>1.0007887449584452</v>
      </c>
      <c r="AP124" s="186">
        <f>+R124-'[2]Data FY23-24 Final'!R124</f>
        <v>0</v>
      </c>
      <c r="AQ124" s="186">
        <f>+S124-'[2]Data FY23-24 Final'!S124</f>
        <v>0</v>
      </c>
      <c r="AR124" s="186">
        <f>+T124-'[2]Data FY23-24 Final'!T124</f>
        <v>0</v>
      </c>
      <c r="AS124" s="186">
        <f>+U124-'[2]Data FY23-24 Final'!U124</f>
        <v>0</v>
      </c>
      <c r="AT124" s="186">
        <f>+V124-'[2]Data FY23-24 Final'!V124</f>
        <v>0</v>
      </c>
      <c r="AU124" s="186">
        <f>+W124-'[2]Data FY23-24 Final'!W124</f>
        <v>1.0007887449584452</v>
      </c>
      <c r="AV124" s="186">
        <f>+X124-'[2]Data FY23-24 Final'!X124</f>
        <v>0</v>
      </c>
      <c r="AW124" s="161">
        <f>+Y124-'[2]Data FY23-24 Final'!Y124</f>
        <v>-77290.270000000019</v>
      </c>
      <c r="AX124" s="161">
        <f>+Z124-'[2]Data FY23-24 Final'!Z124</f>
        <v>-92013.451277999673</v>
      </c>
    </row>
    <row r="125" spans="1:50" s="154" customFormat="1" x14ac:dyDescent="0.25">
      <c r="A125" s="356" t="s">
        <v>340</v>
      </c>
      <c r="B125" s="187" t="s">
        <v>334</v>
      </c>
      <c r="C125" s="194" t="s">
        <v>341</v>
      </c>
      <c r="D125" s="220">
        <v>29934463</v>
      </c>
      <c r="E125" s="220">
        <v>0</v>
      </c>
      <c r="F125" s="220">
        <f t="shared" si="10"/>
        <v>29934463</v>
      </c>
      <c r="G125" s="221">
        <v>249.84</v>
      </c>
      <c r="H125" s="348">
        <v>27</v>
      </c>
      <c r="I125" s="348">
        <v>0</v>
      </c>
      <c r="J125" s="210">
        <f t="shared" si="13"/>
        <v>27</v>
      </c>
      <c r="K125" s="185">
        <v>0</v>
      </c>
      <c r="L125" s="197">
        <v>0</v>
      </c>
      <c r="M125" s="185">
        <v>0</v>
      </c>
      <c r="N125" s="210">
        <v>0</v>
      </c>
      <c r="O125" s="316">
        <v>0</v>
      </c>
      <c r="P125" s="211">
        <f t="shared" si="7"/>
        <v>8.3462329021903609E-3</v>
      </c>
      <c r="Q125" s="317">
        <f t="shared" si="8"/>
        <v>27.008346232902191</v>
      </c>
      <c r="R125" s="196"/>
      <c r="S125" s="196"/>
      <c r="T125" s="196"/>
      <c r="U125" s="196"/>
      <c r="V125" s="196"/>
      <c r="W125" s="196">
        <f t="shared" si="9"/>
        <v>27.008346232902191</v>
      </c>
      <c r="X125" s="185">
        <v>154.88999999999999</v>
      </c>
      <c r="Y125" s="220">
        <v>4742034.13</v>
      </c>
      <c r="Z125" s="220">
        <v>3828327.3750999998</v>
      </c>
      <c r="AB125" s="161">
        <f>+D125-'[2]Data FY23-24 Final'!D125</f>
        <v>1831205</v>
      </c>
      <c r="AC125" s="161">
        <f>+E125-'[2]Data FY23-24 Final'!E125</f>
        <v>0</v>
      </c>
      <c r="AD125" s="161">
        <f>+F125-'[2]Data FY23-24 Final'!F125</f>
        <v>1831205</v>
      </c>
      <c r="AE125" s="161">
        <f>+G125-'[2]Data FY23-24 Final'!G125</f>
        <v>0</v>
      </c>
      <c r="AF125" s="186">
        <f>+H125-'[2]Data FY23-24 Final'!H125</f>
        <v>0</v>
      </c>
      <c r="AG125" s="186">
        <f>+I125-'[2]Data FY23-24 Final'!I125</f>
        <v>0</v>
      </c>
      <c r="AH125" s="186">
        <f>+J125-'[2]Data FY23-24 Final'!J125</f>
        <v>0</v>
      </c>
      <c r="AI125" s="186">
        <f>+K125-'[2]Data FY23-24 Final'!K125</f>
        <v>0</v>
      </c>
      <c r="AJ125" s="186">
        <f>+L125-'[2]Data FY23-24 Final'!L125</f>
        <v>0</v>
      </c>
      <c r="AK125" s="186">
        <f>+M125-'[2]Data FY23-24 Final'!M125</f>
        <v>0</v>
      </c>
      <c r="AL125" s="186">
        <f>+N125-'[2]Data FY23-24 Final'!N125</f>
        <v>0</v>
      </c>
      <c r="AM125" s="186">
        <f>+O125-'[2]Data FY23-24 Final'!O125</f>
        <v>0</v>
      </c>
      <c r="AN125" s="186">
        <f>+P125-'[2]Data FY23-24 Final'!P125</f>
        <v>-6.537670978096384E-4</v>
      </c>
      <c r="AO125" s="186">
        <f>+Q125-'[2]Data FY23-24 Final'!Q125</f>
        <v>-6.5376709780906594E-4</v>
      </c>
      <c r="AP125" s="186">
        <f>+R125-'[2]Data FY23-24 Final'!R125</f>
        <v>-13.324999999999999</v>
      </c>
      <c r="AQ125" s="186">
        <f>+S125-'[2]Data FY23-24 Final'!S125</f>
        <v>0</v>
      </c>
      <c r="AR125" s="186">
        <f>+T125-'[2]Data FY23-24 Final'!T125</f>
        <v>0</v>
      </c>
      <c r="AS125" s="186">
        <f>+U125-'[2]Data FY23-24 Final'!U125</f>
        <v>0</v>
      </c>
      <c r="AT125" s="186">
        <f>+V125-'[2]Data FY23-24 Final'!V125</f>
        <v>0</v>
      </c>
      <c r="AU125" s="186">
        <f>+W125-'[2]Data FY23-24 Final'!W125</f>
        <v>-13.325653767097812</v>
      </c>
      <c r="AV125" s="186">
        <f>+X125-'[2]Data FY23-24 Final'!X125</f>
        <v>0</v>
      </c>
      <c r="AW125" s="161">
        <f>+Y125-'[2]Data FY23-24 Final'!Y125</f>
        <v>476.45999999996275</v>
      </c>
      <c r="AX125" s="161">
        <f>+Z125-'[2]Data FY23-24 Final'!Z125</f>
        <v>-33549.568900000304</v>
      </c>
    </row>
    <row r="126" spans="1:50" s="154" customFormat="1" ht="13" x14ac:dyDescent="0.25">
      <c r="A126" s="187" t="s">
        <v>342</v>
      </c>
      <c r="B126" s="187" t="s">
        <v>334</v>
      </c>
      <c r="C126" s="194" t="s">
        <v>343</v>
      </c>
      <c r="D126" s="321">
        <v>9070221</v>
      </c>
      <c r="E126" s="321">
        <v>0</v>
      </c>
      <c r="F126" s="321">
        <v>9070221</v>
      </c>
      <c r="G126" s="321">
        <v>305.73</v>
      </c>
      <c r="H126" s="348">
        <v>27</v>
      </c>
      <c r="I126" s="348">
        <v>0</v>
      </c>
      <c r="J126" s="210">
        <f t="shared" si="13"/>
        <v>27</v>
      </c>
      <c r="K126" s="185">
        <v>0</v>
      </c>
      <c r="L126" s="197">
        <v>0</v>
      </c>
      <c r="M126" s="185">
        <v>0</v>
      </c>
      <c r="N126" s="210">
        <v>0</v>
      </c>
      <c r="O126" s="316">
        <v>0</v>
      </c>
      <c r="P126" s="211">
        <f t="shared" si="7"/>
        <v>3.3707006698072743E-2</v>
      </c>
      <c r="Q126" s="317">
        <f t="shared" si="8"/>
        <v>27.033707006698073</v>
      </c>
      <c r="R126" s="196"/>
      <c r="S126" s="196"/>
      <c r="T126" s="196"/>
      <c r="U126" s="196"/>
      <c r="V126" s="196"/>
      <c r="W126" s="196">
        <f t="shared" si="9"/>
        <v>27.033707006698073</v>
      </c>
      <c r="X126" s="185">
        <v>390.44499999999999</v>
      </c>
      <c r="Y126" s="220">
        <v>3607923.39</v>
      </c>
      <c r="Z126" s="220">
        <v>3313804.2281000004</v>
      </c>
      <c r="AB126" s="161">
        <f>+D126-'[2]Data FY23-24 Final'!D126</f>
        <v>498303</v>
      </c>
      <c r="AC126" s="161">
        <f>+E126-'[2]Data FY23-24 Final'!E126</f>
        <v>0</v>
      </c>
      <c r="AD126" s="161">
        <f>+F126-'[2]Data FY23-24 Final'!F126</f>
        <v>498303</v>
      </c>
      <c r="AE126" s="161">
        <f>+G126-'[2]Data FY23-24 Final'!G126</f>
        <v>-728.27</v>
      </c>
      <c r="AF126" s="186">
        <f>+H126-'[2]Data FY23-24 Final'!H126</f>
        <v>0</v>
      </c>
      <c r="AG126" s="186">
        <f>+I126-'[2]Data FY23-24 Final'!I126</f>
        <v>0</v>
      </c>
      <c r="AH126" s="186">
        <f>+J126-'[2]Data FY23-24 Final'!J126</f>
        <v>0</v>
      </c>
      <c r="AI126" s="186">
        <f>+K126-'[2]Data FY23-24 Final'!K126</f>
        <v>0</v>
      </c>
      <c r="AJ126" s="186">
        <f>+L126-'[2]Data FY23-24 Final'!L126</f>
        <v>0</v>
      </c>
      <c r="AK126" s="186">
        <f>+M126-'[2]Data FY23-24 Final'!M126</f>
        <v>0</v>
      </c>
      <c r="AL126" s="186">
        <f>+N126-'[2]Data FY23-24 Final'!N126</f>
        <v>0</v>
      </c>
      <c r="AM126" s="186">
        <f>+O126-'[2]Data FY23-24 Final'!O126</f>
        <v>0</v>
      </c>
      <c r="AN126" s="186">
        <f>+P126-'[2]Data FY23-24 Final'!P126</f>
        <v>3.3707006698072743E-2</v>
      </c>
      <c r="AO126" s="186">
        <f>+Q126-'[2]Data FY23-24 Final'!Q126</f>
        <v>3.3707006698072917E-2</v>
      </c>
      <c r="AP126" s="186">
        <f>+R126-'[2]Data FY23-24 Final'!R126</f>
        <v>0</v>
      </c>
      <c r="AQ126" s="186">
        <f>+S126-'[2]Data FY23-24 Final'!S126</f>
        <v>0</v>
      </c>
      <c r="AR126" s="186">
        <f>+T126-'[2]Data FY23-24 Final'!T126</f>
        <v>0</v>
      </c>
      <c r="AS126" s="186">
        <f>+U126-'[2]Data FY23-24 Final'!U126</f>
        <v>0</v>
      </c>
      <c r="AT126" s="186">
        <f>+V126-'[2]Data FY23-24 Final'!V126</f>
        <v>0</v>
      </c>
      <c r="AU126" s="186">
        <f>+W126-'[2]Data FY23-24 Final'!W126</f>
        <v>3.3707006698072917E-2</v>
      </c>
      <c r="AV126" s="186">
        <f>+X126-'[2]Data FY23-24 Final'!X126</f>
        <v>0</v>
      </c>
      <c r="AW126" s="161">
        <f>+Y126-'[2]Data FY23-24 Final'!Y126</f>
        <v>81001.760000000242</v>
      </c>
      <c r="AX126" s="161">
        <f>+Z126-'[2]Data FY23-24 Final'!Z126</f>
        <v>64550.824100000318</v>
      </c>
    </row>
    <row r="127" spans="1:50" s="154" customFormat="1" ht="13" x14ac:dyDescent="0.25">
      <c r="A127" s="187" t="s">
        <v>344</v>
      </c>
      <c r="B127" s="187" t="s">
        <v>334</v>
      </c>
      <c r="C127" s="194" t="s">
        <v>345</v>
      </c>
      <c r="D127" s="321">
        <v>20663329</v>
      </c>
      <c r="E127" s="321">
        <v>1371466</v>
      </c>
      <c r="F127" s="321">
        <v>19291863</v>
      </c>
      <c r="G127" s="321">
        <v>3.16</v>
      </c>
      <c r="H127" s="348">
        <v>27</v>
      </c>
      <c r="I127" s="348">
        <v>1.0030000000000001</v>
      </c>
      <c r="J127" s="210">
        <f t="shared" si="13"/>
        <v>25.997</v>
      </c>
      <c r="K127" s="185">
        <v>0</v>
      </c>
      <c r="L127" s="197">
        <v>0</v>
      </c>
      <c r="M127" s="185">
        <v>0</v>
      </c>
      <c r="N127" s="210">
        <v>0</v>
      </c>
      <c r="O127" s="316">
        <v>0.74</v>
      </c>
      <c r="P127" s="211">
        <f t="shared" si="7"/>
        <v>1.6379962889016993E-4</v>
      </c>
      <c r="Q127" s="317">
        <f t="shared" si="8"/>
        <v>26.737163799628888</v>
      </c>
      <c r="R127" s="196"/>
      <c r="S127" s="196"/>
      <c r="T127" s="196"/>
      <c r="U127" s="196"/>
      <c r="V127" s="196"/>
      <c r="W127" s="196">
        <f t="shared" si="9"/>
        <v>26.737163799628888</v>
      </c>
      <c r="X127" s="185">
        <v>201.77100000000002</v>
      </c>
      <c r="Y127" s="220">
        <v>4426256.4000000004</v>
      </c>
      <c r="Z127" s="220">
        <v>3790413.9295470007</v>
      </c>
      <c r="AB127" s="161">
        <f>+D127-'[2]Data FY23-24 Final'!D127</f>
        <v>-430580</v>
      </c>
      <c r="AC127" s="161">
        <f>+E127-'[2]Data FY23-24 Final'!E127</f>
        <v>583199</v>
      </c>
      <c r="AD127" s="161">
        <f>+F127-'[2]Data FY23-24 Final'!F127</f>
        <v>-1013779</v>
      </c>
      <c r="AE127" s="161">
        <f>+G127-'[2]Data FY23-24 Final'!G127</f>
        <v>3.16</v>
      </c>
      <c r="AF127" s="186">
        <f>+H127-'[2]Data FY23-24 Final'!H127</f>
        <v>0</v>
      </c>
      <c r="AG127" s="186">
        <f>+I127-'[2]Data FY23-24 Final'!I127</f>
        <v>-1</v>
      </c>
      <c r="AH127" s="186">
        <f>+J127-'[2]Data FY23-24 Final'!J127</f>
        <v>1</v>
      </c>
      <c r="AI127" s="186">
        <f>+K127-'[2]Data FY23-24 Final'!K127</f>
        <v>0</v>
      </c>
      <c r="AJ127" s="186">
        <f>+L127-'[2]Data FY23-24 Final'!L127</f>
        <v>0</v>
      </c>
      <c r="AK127" s="186">
        <f>+M127-'[2]Data FY23-24 Final'!M127</f>
        <v>0</v>
      </c>
      <c r="AL127" s="186">
        <f>+N127-'[2]Data FY23-24 Final'!N127</f>
        <v>0</v>
      </c>
      <c r="AM127" s="186">
        <f>+O127-'[2]Data FY23-24 Final'!O127</f>
        <v>-4.1000000000000036E-2</v>
      </c>
      <c r="AN127" s="186">
        <f>+P127-'[2]Data FY23-24 Final'!P127</f>
        <v>1.6379962889016993E-4</v>
      </c>
      <c r="AO127" s="186">
        <f>+Q127-'[2]Data FY23-24 Final'!Q127</f>
        <v>0.95916379962888954</v>
      </c>
      <c r="AP127" s="186">
        <f>+R127-'[2]Data FY23-24 Final'!R127</f>
        <v>-9.2240000000000002</v>
      </c>
      <c r="AQ127" s="186">
        <f>+S127-'[2]Data FY23-24 Final'!S127</f>
        <v>0</v>
      </c>
      <c r="AR127" s="186">
        <f>+T127-'[2]Data FY23-24 Final'!T127</f>
        <v>0</v>
      </c>
      <c r="AS127" s="186">
        <f>+U127-'[2]Data FY23-24 Final'!U127</f>
        <v>0</v>
      </c>
      <c r="AT127" s="186">
        <f>+V127-'[2]Data FY23-24 Final'!V127</f>
        <v>0</v>
      </c>
      <c r="AU127" s="186">
        <f>+W127-'[2]Data FY23-24 Final'!W127</f>
        <v>-8.2648362003711142</v>
      </c>
      <c r="AV127" s="186">
        <f>+X127-'[2]Data FY23-24 Final'!X127</f>
        <v>0</v>
      </c>
      <c r="AW127" s="161">
        <f>+Y127-'[2]Data FY23-24 Final'!Y127</f>
        <v>82442.44000000041</v>
      </c>
      <c r="AX127" s="161">
        <f>+Z127-'[2]Data FY23-24 Final'!Z127</f>
        <v>53925.382621000521</v>
      </c>
    </row>
    <row r="128" spans="1:50" s="154" customFormat="1" ht="13" x14ac:dyDescent="0.3">
      <c r="A128" s="187" t="s">
        <v>346</v>
      </c>
      <c r="B128" s="187" t="s">
        <v>347</v>
      </c>
      <c r="C128" s="194" t="s">
        <v>347</v>
      </c>
      <c r="D128" s="349">
        <v>101708820</v>
      </c>
      <c r="E128" s="349">
        <v>0</v>
      </c>
      <c r="F128" s="349">
        <v>101708820</v>
      </c>
      <c r="G128" s="350">
        <v>19426.2</v>
      </c>
      <c r="H128" s="348">
        <v>27</v>
      </c>
      <c r="I128" s="348">
        <v>4.0689999999999991</v>
      </c>
      <c r="J128" s="210">
        <f t="shared" si="13"/>
        <v>22.931000000000001</v>
      </c>
      <c r="K128" s="185">
        <v>0</v>
      </c>
      <c r="L128" s="197">
        <v>0</v>
      </c>
      <c r="M128" s="185">
        <v>0</v>
      </c>
      <c r="N128" s="210">
        <v>0</v>
      </c>
      <c r="O128" s="316">
        <v>1.472</v>
      </c>
      <c r="P128" s="211">
        <f t="shared" si="7"/>
        <v>0.19099818481818981</v>
      </c>
      <c r="Q128" s="317">
        <f t="shared" si="8"/>
        <v>24.593998184818194</v>
      </c>
      <c r="R128" s="196"/>
      <c r="S128" s="196"/>
      <c r="T128" s="196"/>
      <c r="U128" s="196"/>
      <c r="V128" s="196"/>
      <c r="W128" s="196">
        <f t="shared" si="9"/>
        <v>24.593998184818194</v>
      </c>
      <c r="X128" s="185">
        <v>30.803000000000001</v>
      </c>
      <c r="Y128" s="220">
        <v>3382090.5</v>
      </c>
      <c r="Z128" s="220">
        <v>934067.34745000023</v>
      </c>
      <c r="AB128" s="161">
        <f>+D128-'[2]Data FY23-24 Final'!D128</f>
        <v>457460</v>
      </c>
      <c r="AC128" s="161">
        <f>+E128-'[2]Data FY23-24 Final'!E128</f>
        <v>0</v>
      </c>
      <c r="AD128" s="161">
        <f>+F128-'[2]Data FY23-24 Final'!F128</f>
        <v>457460</v>
      </c>
      <c r="AE128" s="161">
        <f>+G128-'[2]Data FY23-24 Final'!G128</f>
        <v>2876.4200000000019</v>
      </c>
      <c r="AF128" s="186">
        <f>+H128-'[2]Data FY23-24 Final'!H128</f>
        <v>0</v>
      </c>
      <c r="AG128" s="186">
        <f>+I128-'[2]Data FY23-24 Final'!I128</f>
        <v>-1.0000000000000009</v>
      </c>
      <c r="AH128" s="186">
        <f>+J128-'[2]Data FY23-24 Final'!J128</f>
        <v>1</v>
      </c>
      <c r="AI128" s="186">
        <f>+K128-'[2]Data FY23-24 Final'!K128</f>
        <v>0</v>
      </c>
      <c r="AJ128" s="186">
        <f>+L128-'[2]Data FY23-24 Final'!L128</f>
        <v>0</v>
      </c>
      <c r="AK128" s="186">
        <f>+M128-'[2]Data FY23-24 Final'!M128</f>
        <v>0</v>
      </c>
      <c r="AL128" s="186">
        <f>+N128-'[2]Data FY23-24 Final'!N128</f>
        <v>0</v>
      </c>
      <c r="AM128" s="186">
        <f>+O128-'[2]Data FY23-24 Final'!O128</f>
        <v>-3.4019999999999997</v>
      </c>
      <c r="AN128" s="186">
        <f>+P128-'[2]Data FY23-24 Final'!P128</f>
        <v>2.7998184818189803E-2</v>
      </c>
      <c r="AO128" s="186">
        <f>+Q128-'[2]Data FY23-24 Final'!Q128</f>
        <v>-2.3740018151818063</v>
      </c>
      <c r="AP128" s="186">
        <f>+R128-'[2]Data FY23-24 Final'!R128</f>
        <v>-1.9339999999999999</v>
      </c>
      <c r="AQ128" s="186">
        <f>+S128-'[2]Data FY23-24 Final'!S128</f>
        <v>0</v>
      </c>
      <c r="AR128" s="186">
        <f>+T128-'[2]Data FY23-24 Final'!T128</f>
        <v>0</v>
      </c>
      <c r="AS128" s="186">
        <f>+U128-'[2]Data FY23-24 Final'!U128</f>
        <v>0</v>
      </c>
      <c r="AT128" s="186">
        <f>+V128-'[2]Data FY23-24 Final'!V128</f>
        <v>0</v>
      </c>
      <c r="AU128" s="186">
        <f>+W128-'[2]Data FY23-24 Final'!W128</f>
        <v>-4.3080018151818074</v>
      </c>
      <c r="AV128" s="186">
        <f>+X128-'[2]Data FY23-24 Final'!X128</f>
        <v>0</v>
      </c>
      <c r="AW128" s="161">
        <f>+Y128-'[2]Data FY23-24 Final'!Y128</f>
        <v>5606.9399999999441</v>
      </c>
      <c r="AX128" s="161">
        <f>+Z128-'[2]Data FY23-24 Final'!Z128</f>
        <v>-65849.996390000102</v>
      </c>
    </row>
    <row r="129" spans="1:50" s="154" customFormat="1" ht="13" x14ac:dyDescent="0.3">
      <c r="A129" s="187" t="s">
        <v>348</v>
      </c>
      <c r="B129" s="187" t="s">
        <v>347</v>
      </c>
      <c r="C129" s="194" t="s">
        <v>349</v>
      </c>
      <c r="D129" s="349">
        <v>197390890</v>
      </c>
      <c r="E129" s="349">
        <v>0</v>
      </c>
      <c r="F129" s="349">
        <v>197390890</v>
      </c>
      <c r="G129" s="350">
        <v>15366.4</v>
      </c>
      <c r="H129" s="348">
        <v>21.643000000000001</v>
      </c>
      <c r="I129" s="348">
        <v>4.7149999999999999</v>
      </c>
      <c r="J129" s="210">
        <f t="shared" si="13"/>
        <v>16.928000000000001</v>
      </c>
      <c r="K129" s="185">
        <v>0</v>
      </c>
      <c r="L129" s="197">
        <v>0</v>
      </c>
      <c r="M129" s="185">
        <v>0</v>
      </c>
      <c r="N129" s="210">
        <v>0</v>
      </c>
      <c r="O129" s="316">
        <v>2.5939999999999999</v>
      </c>
      <c r="P129" s="211">
        <f t="shared" si="7"/>
        <v>7.7847564292354121E-2</v>
      </c>
      <c r="Q129" s="317">
        <f t="shared" si="8"/>
        <v>19.599847564292357</v>
      </c>
      <c r="R129" s="196"/>
      <c r="S129" s="196"/>
      <c r="T129" s="196"/>
      <c r="U129" s="196"/>
      <c r="V129" s="196"/>
      <c r="W129" s="196">
        <f t="shared" si="9"/>
        <v>19.599847564292357</v>
      </c>
      <c r="X129" s="185">
        <v>22.949000000000002</v>
      </c>
      <c r="Y129" s="220">
        <v>4758515.76</v>
      </c>
      <c r="Z129" s="220">
        <v>1397835.0335399995</v>
      </c>
      <c r="AB129" s="161">
        <f>+D129-'[2]Data FY23-24 Final'!D129</f>
        <v>4847850</v>
      </c>
      <c r="AC129" s="161">
        <f>+E129-'[2]Data FY23-24 Final'!E129</f>
        <v>0</v>
      </c>
      <c r="AD129" s="161">
        <f>+F129-'[2]Data FY23-24 Final'!F129</f>
        <v>4847850</v>
      </c>
      <c r="AE129" s="161">
        <f>+G129-'[2]Data FY23-24 Final'!G129</f>
        <v>9397.4</v>
      </c>
      <c r="AF129" s="186">
        <f>+H129-'[2]Data FY23-24 Final'!H129</f>
        <v>0</v>
      </c>
      <c r="AG129" s="186">
        <f>+I129-'[2]Data FY23-24 Final'!I129</f>
        <v>-1</v>
      </c>
      <c r="AH129" s="186">
        <f>+J129-'[2]Data FY23-24 Final'!J129</f>
        <v>1</v>
      </c>
      <c r="AI129" s="186">
        <f>+K129-'[2]Data FY23-24 Final'!K129</f>
        <v>0</v>
      </c>
      <c r="AJ129" s="186">
        <f>+L129-'[2]Data FY23-24 Final'!L129</f>
        <v>0</v>
      </c>
      <c r="AK129" s="186">
        <f>+M129-'[2]Data FY23-24 Final'!M129</f>
        <v>0</v>
      </c>
      <c r="AL129" s="186">
        <f>+N129-'[2]Data FY23-24 Final'!N129</f>
        <v>0</v>
      </c>
      <c r="AM129" s="186">
        <f>+O129-'[2]Data FY23-24 Final'!O129</f>
        <v>-4.4659999999999993</v>
      </c>
      <c r="AN129" s="186">
        <f>+P129-'[2]Data FY23-24 Final'!P129</f>
        <v>4.6837564292354125E-2</v>
      </c>
      <c r="AO129" s="186">
        <f>+Q129-'[2]Data FY23-24 Final'!Q129</f>
        <v>-3.4191624357076442</v>
      </c>
      <c r="AP129" s="186">
        <f>+R129-'[2]Data FY23-24 Final'!R129</f>
        <v>-6.2320000000000002</v>
      </c>
      <c r="AQ129" s="186">
        <f>+S129-'[2]Data FY23-24 Final'!S129</f>
        <v>0</v>
      </c>
      <c r="AR129" s="186">
        <f>+T129-'[2]Data FY23-24 Final'!T129</f>
        <v>0</v>
      </c>
      <c r="AS129" s="186">
        <f>+U129-'[2]Data FY23-24 Final'!U129</f>
        <v>0</v>
      </c>
      <c r="AT129" s="186">
        <f>+V129-'[2]Data FY23-24 Final'!V129</f>
        <v>0</v>
      </c>
      <c r="AU129" s="186">
        <f>+W129-'[2]Data FY23-24 Final'!W129</f>
        <v>-9.6511624357076435</v>
      </c>
      <c r="AV129" s="186">
        <f>+X129-'[2]Data FY23-24 Final'!X129</f>
        <v>0</v>
      </c>
      <c r="AW129" s="161">
        <f>+Y129-'[2]Data FY23-24 Final'!Y129</f>
        <v>65597.179999999702</v>
      </c>
      <c r="AX129" s="161">
        <f>+Z129-'[2]Data FY23-24 Final'!Z129</f>
        <v>-28569.745340000372</v>
      </c>
    </row>
    <row r="130" spans="1:50" s="154" customFormat="1" x14ac:dyDescent="0.25">
      <c r="A130" s="187" t="s">
        <v>350</v>
      </c>
      <c r="B130" s="187" t="s">
        <v>351</v>
      </c>
      <c r="C130" s="194" t="s">
        <v>352</v>
      </c>
      <c r="D130" s="220">
        <v>246829813</v>
      </c>
      <c r="E130" s="220">
        <v>0</v>
      </c>
      <c r="F130" s="220">
        <f t="shared" si="10"/>
        <v>246829813</v>
      </c>
      <c r="G130" s="221">
        <v>3653.84</v>
      </c>
      <c r="H130" s="348">
        <v>27</v>
      </c>
      <c r="I130" s="348">
        <v>5.338000000000001</v>
      </c>
      <c r="J130" s="210">
        <f t="shared" si="13"/>
        <v>21.661999999999999</v>
      </c>
      <c r="K130" s="185">
        <v>0</v>
      </c>
      <c r="L130" s="197">
        <v>0</v>
      </c>
      <c r="M130" s="185">
        <v>0</v>
      </c>
      <c r="N130" s="210">
        <v>0</v>
      </c>
      <c r="O130" s="316">
        <v>2.2290000000000001</v>
      </c>
      <c r="P130" s="211">
        <f t="shared" si="7"/>
        <v>1.4803074051674626E-2</v>
      </c>
      <c r="Q130" s="317">
        <f t="shared" si="8"/>
        <v>23.905803074051672</v>
      </c>
      <c r="R130" s="196"/>
      <c r="S130" s="196"/>
      <c r="T130" s="196"/>
      <c r="U130" s="196"/>
      <c r="V130" s="196"/>
      <c r="W130" s="196">
        <f t="shared" si="9"/>
        <v>23.905803074051672</v>
      </c>
      <c r="X130" s="185">
        <v>34.058</v>
      </c>
      <c r="Y130" s="220">
        <v>8744421.1099999994</v>
      </c>
      <c r="Z130" s="220">
        <v>3306493.5741939992</v>
      </c>
      <c r="AB130" s="161">
        <f>+D130-'[2]Data FY23-24 Final'!D130</f>
        <v>15167700</v>
      </c>
      <c r="AC130" s="161">
        <f>+E130-'[2]Data FY23-24 Final'!E130</f>
        <v>0</v>
      </c>
      <c r="AD130" s="161">
        <f>+F130-'[2]Data FY23-24 Final'!F130</f>
        <v>15167700</v>
      </c>
      <c r="AE130" s="161">
        <f>+G130-'[2]Data FY23-24 Final'!G130</f>
        <v>0</v>
      </c>
      <c r="AF130" s="186">
        <f>+H130-'[2]Data FY23-24 Final'!H130</f>
        <v>0</v>
      </c>
      <c r="AG130" s="186">
        <f>+I130-'[2]Data FY23-24 Final'!I130</f>
        <v>-0.99999999999999911</v>
      </c>
      <c r="AH130" s="186">
        <f>+J130-'[2]Data FY23-24 Final'!J130</f>
        <v>1</v>
      </c>
      <c r="AI130" s="186">
        <f>+K130-'[2]Data FY23-24 Final'!K130</f>
        <v>0</v>
      </c>
      <c r="AJ130" s="186">
        <f>+L130-'[2]Data FY23-24 Final'!L130</f>
        <v>0</v>
      </c>
      <c r="AK130" s="186">
        <f>+M130-'[2]Data FY23-24 Final'!M130</f>
        <v>0</v>
      </c>
      <c r="AL130" s="186">
        <f>+N130-'[2]Data FY23-24 Final'!N130</f>
        <v>0</v>
      </c>
      <c r="AM130" s="186">
        <f>+O130-'[2]Data FY23-24 Final'!O130</f>
        <v>-0.95799999999999974</v>
      </c>
      <c r="AN130" s="186">
        <f>+P130-'[2]Data FY23-24 Final'!P130</f>
        <v>-1.1969259483253746E-3</v>
      </c>
      <c r="AO130" s="186">
        <f>+Q130-'[2]Data FY23-24 Final'!Q130</f>
        <v>4.0803074051673605E-2</v>
      </c>
      <c r="AP130" s="186">
        <f>+R130-'[2]Data FY23-24 Final'!R130</f>
        <v>-4.51</v>
      </c>
      <c r="AQ130" s="186">
        <f>+S130-'[2]Data FY23-24 Final'!S130</f>
        <v>0</v>
      </c>
      <c r="AR130" s="186">
        <f>+T130-'[2]Data FY23-24 Final'!T130</f>
        <v>0</v>
      </c>
      <c r="AS130" s="186">
        <f>+U130-'[2]Data FY23-24 Final'!U130</f>
        <v>0</v>
      </c>
      <c r="AT130" s="186">
        <f>+V130-'[2]Data FY23-24 Final'!V130</f>
        <v>0</v>
      </c>
      <c r="AU130" s="186">
        <f>+W130-'[2]Data FY23-24 Final'!W130</f>
        <v>-4.469196925948328</v>
      </c>
      <c r="AV130" s="186">
        <f>+X130-'[2]Data FY23-24 Final'!X130</f>
        <v>0</v>
      </c>
      <c r="AW130" s="161">
        <f>+Y130-'[2]Data FY23-24 Final'!Y130</f>
        <v>97211.5</v>
      </c>
      <c r="AX130" s="161">
        <f>+Z130-'[2]Data FY23-24 Final'!Z130</f>
        <v>-139053.46700000018</v>
      </c>
    </row>
    <row r="131" spans="1:50" s="154" customFormat="1" x14ac:dyDescent="0.25">
      <c r="A131" s="187" t="s">
        <v>353</v>
      </c>
      <c r="B131" s="187" t="s">
        <v>351</v>
      </c>
      <c r="C131" s="194" t="s">
        <v>351</v>
      </c>
      <c r="D131" s="220">
        <v>642836439</v>
      </c>
      <c r="E131" s="220">
        <v>0</v>
      </c>
      <c r="F131" s="220">
        <f t="shared" si="10"/>
        <v>642836439</v>
      </c>
      <c r="G131" s="221">
        <v>24485.64</v>
      </c>
      <c r="H131" s="348">
        <v>12.173</v>
      </c>
      <c r="I131" s="348">
        <v>0</v>
      </c>
      <c r="J131" s="352">
        <f>+H131-I131-K131-L131</f>
        <v>9.5250000000000021</v>
      </c>
      <c r="K131" s="353">
        <v>0.78</v>
      </c>
      <c r="L131" s="354">
        <v>1.8679999999999994</v>
      </c>
      <c r="M131" s="185">
        <v>0.85699999999999998</v>
      </c>
      <c r="N131" s="210">
        <v>0</v>
      </c>
      <c r="O131" s="316">
        <v>0.32200000000000001</v>
      </c>
      <c r="P131" s="211">
        <f t="shared" ref="P131:P180" si="14">+G131/F131*1000</f>
        <v>3.8090000059875256E-2</v>
      </c>
      <c r="Q131" s="317">
        <f t="shared" si="8"/>
        <v>13.390090000059876</v>
      </c>
      <c r="R131" s="196"/>
      <c r="S131" s="196"/>
      <c r="T131" s="196"/>
      <c r="U131" s="196"/>
      <c r="V131" s="196"/>
      <c r="W131" s="196">
        <f t="shared" si="9"/>
        <v>13.390090000059876</v>
      </c>
      <c r="X131" s="185">
        <v>9.5250000000000004</v>
      </c>
      <c r="Y131" s="220">
        <v>6745283.8499999996</v>
      </c>
      <c r="Z131" s="220">
        <v>0</v>
      </c>
      <c r="AB131" s="161">
        <f>+D131-'[2]Data FY23-24 Final'!D131</f>
        <v>26423350</v>
      </c>
      <c r="AC131" s="161">
        <f>+E131-'[2]Data FY23-24 Final'!E131</f>
        <v>0</v>
      </c>
      <c r="AD131" s="161">
        <f>+F131-'[2]Data FY23-24 Final'!F131</f>
        <v>26423350</v>
      </c>
      <c r="AE131" s="161">
        <f>+G131-'[2]Data FY23-24 Final'!G131</f>
        <v>0</v>
      </c>
      <c r="AF131" s="186">
        <f>+H131-'[2]Data FY23-24 Final'!H131</f>
        <v>0</v>
      </c>
      <c r="AG131" s="186">
        <f>+I131-'[2]Data FY23-24 Final'!I131</f>
        <v>0</v>
      </c>
      <c r="AH131" s="186">
        <f>+J131-'[2]Data FY23-24 Final'!J131</f>
        <v>-2.6479999999999979</v>
      </c>
      <c r="AI131" s="186">
        <f>+K131-'[2]Data FY23-24 Final'!K131</f>
        <v>0.78</v>
      </c>
      <c r="AJ131" s="186">
        <f>+L131-'[2]Data FY23-24 Final'!L131</f>
        <v>1.8679999999999994</v>
      </c>
      <c r="AK131" s="186">
        <f>+M131-'[2]Data FY23-24 Final'!M131</f>
        <v>-3.7000000000000033E-2</v>
      </c>
      <c r="AL131" s="186">
        <f>+N131-'[2]Data FY23-24 Final'!N131</f>
        <v>0</v>
      </c>
      <c r="AM131" s="186">
        <f>+O131-'[2]Data FY23-24 Final'!O131</f>
        <v>-2.7639999999999998</v>
      </c>
      <c r="AN131" s="186">
        <f>+P131-'[2]Data FY23-24 Final'!P131</f>
        <v>-1.9099999401247444E-3</v>
      </c>
      <c r="AO131" s="186">
        <f>+Q131-'[2]Data FY23-24 Final'!Q131</f>
        <v>-2.802909999940125</v>
      </c>
      <c r="AP131" s="186">
        <f>+R131-'[2]Data FY23-24 Final'!R131</f>
        <v>-1.014</v>
      </c>
      <c r="AQ131" s="186">
        <f>+S131-'[2]Data FY23-24 Final'!S131</f>
        <v>0</v>
      </c>
      <c r="AR131" s="186">
        <f>+T131-'[2]Data FY23-24 Final'!T131</f>
        <v>0</v>
      </c>
      <c r="AS131" s="186">
        <f>+U131-'[2]Data FY23-24 Final'!U131</f>
        <v>0</v>
      </c>
      <c r="AT131" s="186">
        <f>+V131-'[2]Data FY23-24 Final'!V131</f>
        <v>0</v>
      </c>
      <c r="AU131" s="186">
        <f>+W131-'[2]Data FY23-24 Final'!W131</f>
        <v>-3.8169099999401244</v>
      </c>
      <c r="AV131" s="186">
        <f>+X131-'[2]Data FY23-24 Final'!X131</f>
        <v>0</v>
      </c>
      <c r="AW131" s="161">
        <f>+Y131-'[2]Data FY23-24 Final'!Y131</f>
        <v>23554.179999999702</v>
      </c>
      <c r="AX131" s="161">
        <f>+Z131-'[2]Data FY23-24 Final'!Z131</f>
        <v>-1.1641532182693481E-10</v>
      </c>
    </row>
    <row r="132" spans="1:50" s="154" customFormat="1" x14ac:dyDescent="0.25">
      <c r="A132" s="187" t="s">
        <v>354</v>
      </c>
      <c r="B132" s="187" t="s">
        <v>355</v>
      </c>
      <c r="C132" s="194" t="s">
        <v>356</v>
      </c>
      <c r="D132" s="220">
        <v>85481070</v>
      </c>
      <c r="E132" s="220">
        <v>0</v>
      </c>
      <c r="F132" s="220">
        <f t="shared" si="10"/>
        <v>85481070</v>
      </c>
      <c r="G132" s="221">
        <v>6158.75</v>
      </c>
      <c r="H132" s="348">
        <v>27</v>
      </c>
      <c r="I132" s="348">
        <v>0</v>
      </c>
      <c r="J132" s="210">
        <f>+H132-I132</f>
        <v>27</v>
      </c>
      <c r="K132" s="185">
        <v>0</v>
      </c>
      <c r="L132" s="197">
        <v>0</v>
      </c>
      <c r="M132" s="185">
        <v>0</v>
      </c>
      <c r="N132" s="210">
        <v>0</v>
      </c>
      <c r="O132" s="316">
        <v>5.2389999999999999</v>
      </c>
      <c r="P132" s="211">
        <f t="shared" si="14"/>
        <v>7.2048115448250696E-2</v>
      </c>
      <c r="Q132" s="317">
        <f t="shared" ref="Q132:Q180" si="15">SUM(J132:P132)</f>
        <v>32.311048115448251</v>
      </c>
      <c r="R132" s="196"/>
      <c r="S132" s="196"/>
      <c r="T132" s="196"/>
      <c r="U132" s="196"/>
      <c r="V132" s="196"/>
      <c r="W132" s="196">
        <f t="shared" ref="W132:W180" si="16">Q132+(SUM(R132:V132))</f>
        <v>32.311048115448251</v>
      </c>
      <c r="X132" s="185">
        <v>75.902999999999992</v>
      </c>
      <c r="Y132" s="220">
        <v>6733888.1500000004</v>
      </c>
      <c r="Z132" s="220">
        <v>4180239.4807999996</v>
      </c>
      <c r="AB132" s="161">
        <f>+D132-'[2]Data FY23-24 Final'!D132</f>
        <v>3291040</v>
      </c>
      <c r="AC132" s="161">
        <f>+E132-'[2]Data FY23-24 Final'!E132</f>
        <v>0</v>
      </c>
      <c r="AD132" s="161">
        <f>+F132-'[2]Data FY23-24 Final'!F132</f>
        <v>3291040</v>
      </c>
      <c r="AE132" s="161">
        <f>+G132-'[2]Data FY23-24 Final'!G132</f>
        <v>0</v>
      </c>
      <c r="AF132" s="186">
        <f>+H132-'[2]Data FY23-24 Final'!H132</f>
        <v>0</v>
      </c>
      <c r="AG132" s="186">
        <f>+I132-'[2]Data FY23-24 Final'!I132</f>
        <v>0</v>
      </c>
      <c r="AH132" s="186">
        <f>+J132-'[2]Data FY23-24 Final'!J132</f>
        <v>0</v>
      </c>
      <c r="AI132" s="186">
        <f>+K132-'[2]Data FY23-24 Final'!K132</f>
        <v>0</v>
      </c>
      <c r="AJ132" s="186">
        <f>+L132-'[2]Data FY23-24 Final'!L132</f>
        <v>0</v>
      </c>
      <c r="AK132" s="186">
        <f>+M132-'[2]Data FY23-24 Final'!M132</f>
        <v>0</v>
      </c>
      <c r="AL132" s="186">
        <f>+N132-'[2]Data FY23-24 Final'!N132</f>
        <v>0</v>
      </c>
      <c r="AM132" s="186">
        <f>+O132-'[2]Data FY23-24 Final'!O132</f>
        <v>-1.7610000000000001</v>
      </c>
      <c r="AN132" s="186">
        <f>+P132-'[2]Data FY23-24 Final'!P132</f>
        <v>-2.9518845517493009E-3</v>
      </c>
      <c r="AO132" s="186">
        <f>+Q132-'[2]Data FY23-24 Final'!Q132</f>
        <v>-1.7639518845517514</v>
      </c>
      <c r="AP132" s="186">
        <f>+R132-'[2]Data FY23-24 Final'!R132</f>
        <v>-3.31</v>
      </c>
      <c r="AQ132" s="186">
        <f>+S132-'[2]Data FY23-24 Final'!S132</f>
        <v>0</v>
      </c>
      <c r="AR132" s="186">
        <f>+T132-'[2]Data FY23-24 Final'!T132</f>
        <v>0</v>
      </c>
      <c r="AS132" s="186">
        <f>+U132-'[2]Data FY23-24 Final'!U132</f>
        <v>0</v>
      </c>
      <c r="AT132" s="186">
        <f>+V132-'[2]Data FY23-24 Final'!V132</f>
        <v>0</v>
      </c>
      <c r="AU132" s="186">
        <f>+W132-'[2]Data FY23-24 Final'!W132</f>
        <v>-5.0739518845517466</v>
      </c>
      <c r="AV132" s="186">
        <f>+X132-'[2]Data FY23-24 Final'!X132</f>
        <v>0</v>
      </c>
      <c r="AW132" s="161">
        <f>+Y132-'[2]Data FY23-24 Final'!Y132</f>
        <v>91746.320000000298</v>
      </c>
      <c r="AX132" s="161">
        <f>+Z132-'[2]Data FY23-24 Final'!Z132</f>
        <v>7001.1307999999262</v>
      </c>
    </row>
    <row r="133" spans="1:50" s="154" customFormat="1" x14ac:dyDescent="0.25">
      <c r="A133" s="187" t="s">
        <v>357</v>
      </c>
      <c r="B133" s="187" t="s">
        <v>355</v>
      </c>
      <c r="C133" s="194" t="s">
        <v>358</v>
      </c>
      <c r="D133" s="220">
        <v>36960786</v>
      </c>
      <c r="E133" s="220">
        <v>0</v>
      </c>
      <c r="F133" s="220">
        <f t="shared" ref="F133:F181" si="17">+D133-E133</f>
        <v>36960786</v>
      </c>
      <c r="G133" s="221">
        <v>5002.91</v>
      </c>
      <c r="H133" s="348">
        <v>27</v>
      </c>
      <c r="I133" s="348">
        <v>0</v>
      </c>
      <c r="J133" s="210">
        <f>+H133-I133</f>
        <v>27</v>
      </c>
      <c r="K133" s="185">
        <v>0</v>
      </c>
      <c r="L133" s="197">
        <v>0</v>
      </c>
      <c r="M133" s="185">
        <v>0</v>
      </c>
      <c r="N133" s="210">
        <v>0</v>
      </c>
      <c r="O133" s="316">
        <v>0</v>
      </c>
      <c r="P133" s="211">
        <f t="shared" si="14"/>
        <v>0.13535724050890044</v>
      </c>
      <c r="Q133" s="317">
        <f t="shared" si="15"/>
        <v>27.135357240508899</v>
      </c>
      <c r="R133" s="196"/>
      <c r="S133" s="196"/>
      <c r="T133" s="196"/>
      <c r="U133" s="196"/>
      <c r="V133" s="196"/>
      <c r="W133" s="196">
        <f t="shared" si="16"/>
        <v>27.135357240508899</v>
      </c>
      <c r="X133" s="185">
        <v>106.164</v>
      </c>
      <c r="Y133" s="220">
        <v>4054256.39</v>
      </c>
      <c r="Z133" s="220">
        <v>2925976.4547999999</v>
      </c>
      <c r="AB133" s="161">
        <f>+D133-'[2]Data FY23-24 Final'!D133</f>
        <v>1832990</v>
      </c>
      <c r="AC133" s="161">
        <f>+E133-'[2]Data FY23-24 Final'!E133</f>
        <v>0</v>
      </c>
      <c r="AD133" s="161">
        <f>+F133-'[2]Data FY23-24 Final'!F133</f>
        <v>1832990</v>
      </c>
      <c r="AE133" s="161">
        <f>+G133-'[2]Data FY23-24 Final'!G133</f>
        <v>1524.9099999999999</v>
      </c>
      <c r="AF133" s="186">
        <f>+H133-'[2]Data FY23-24 Final'!H133</f>
        <v>0</v>
      </c>
      <c r="AG133" s="186">
        <f>+I133-'[2]Data FY23-24 Final'!I133</f>
        <v>0</v>
      </c>
      <c r="AH133" s="186">
        <f>+J133-'[2]Data FY23-24 Final'!J133</f>
        <v>0</v>
      </c>
      <c r="AI133" s="186">
        <f>+K133-'[2]Data FY23-24 Final'!K133</f>
        <v>0</v>
      </c>
      <c r="AJ133" s="186">
        <f>+L133-'[2]Data FY23-24 Final'!L133</f>
        <v>0</v>
      </c>
      <c r="AK133" s="186">
        <f>+M133-'[2]Data FY23-24 Final'!M133</f>
        <v>0</v>
      </c>
      <c r="AL133" s="186">
        <f>+N133-'[2]Data FY23-24 Final'!N133</f>
        <v>0</v>
      </c>
      <c r="AM133" s="186">
        <f>+O133-'[2]Data FY23-24 Final'!O133</f>
        <v>-5</v>
      </c>
      <c r="AN133" s="186">
        <f>+P133-'[2]Data FY23-24 Final'!P133</f>
        <v>3.6357240508900435E-2</v>
      </c>
      <c r="AO133" s="186">
        <f>+Q133-'[2]Data FY23-24 Final'!Q133</f>
        <v>-4.9636427594910977</v>
      </c>
      <c r="AP133" s="186">
        <f>+R133-'[2]Data FY23-24 Final'!R133</f>
        <v>-7.2039999999999997</v>
      </c>
      <c r="AQ133" s="186">
        <f>+S133-'[2]Data FY23-24 Final'!S133</f>
        <v>0</v>
      </c>
      <c r="AR133" s="186">
        <f>+T133-'[2]Data FY23-24 Final'!T133</f>
        <v>0</v>
      </c>
      <c r="AS133" s="186">
        <f>+U133-'[2]Data FY23-24 Final'!U133</f>
        <v>0</v>
      </c>
      <c r="AT133" s="186">
        <f>+V133-'[2]Data FY23-24 Final'!V133</f>
        <v>0</v>
      </c>
      <c r="AU133" s="186">
        <f>+W133-'[2]Data FY23-24 Final'!W133</f>
        <v>-12.167642759491098</v>
      </c>
      <c r="AV133" s="186">
        <f>+X133-'[2]Data FY23-24 Final'!X133</f>
        <v>0</v>
      </c>
      <c r="AW133" s="161">
        <f>+Y133-'[2]Data FY23-24 Final'!Y133</f>
        <v>74102.25</v>
      </c>
      <c r="AX133" s="161">
        <f>+Z133-'[2]Data FY23-24 Final'!Z133</f>
        <v>28.576799999922514</v>
      </c>
    </row>
    <row r="134" spans="1:50" s="154" customFormat="1" ht="13" x14ac:dyDescent="0.3">
      <c r="A134" s="187" t="s">
        <v>359</v>
      </c>
      <c r="B134" s="187" t="s">
        <v>360</v>
      </c>
      <c r="C134" s="194" t="s">
        <v>361</v>
      </c>
      <c r="D134" s="349">
        <v>5358830490</v>
      </c>
      <c r="E134" s="349">
        <v>0</v>
      </c>
      <c r="F134" s="349">
        <v>5358830490</v>
      </c>
      <c r="G134" s="350">
        <v>136396.23000000001</v>
      </c>
      <c r="H134" s="348">
        <v>4.4119999999999999</v>
      </c>
      <c r="I134" s="348">
        <v>0</v>
      </c>
      <c r="J134" s="352">
        <f>+H134-I134-K134-L134</f>
        <v>3.7240000000000002</v>
      </c>
      <c r="K134" s="353">
        <v>0.13699999999999998</v>
      </c>
      <c r="L134" s="354">
        <v>0.55100000000000027</v>
      </c>
      <c r="M134" s="185">
        <v>0.124</v>
      </c>
      <c r="N134" s="210">
        <v>0</v>
      </c>
      <c r="O134" s="316">
        <v>0.68199999999999994</v>
      </c>
      <c r="P134" s="211">
        <f t="shared" si="14"/>
        <v>2.5452611396185442E-2</v>
      </c>
      <c r="Q134" s="317">
        <f t="shared" si="15"/>
        <v>5.2434526113961857</v>
      </c>
      <c r="R134" s="196"/>
      <c r="S134" s="196"/>
      <c r="T134" s="196"/>
      <c r="U134" s="196"/>
      <c r="V134" s="196"/>
      <c r="W134" s="196">
        <f t="shared" si="16"/>
        <v>5.2434526113961857</v>
      </c>
      <c r="X134" s="185">
        <v>3.7239999999999998</v>
      </c>
      <c r="Y134" s="220">
        <v>21956312.75</v>
      </c>
      <c r="Z134" s="220">
        <v>1619.9920807151357</v>
      </c>
      <c r="AB134" s="161">
        <f>+D134-'[2]Data FY23-24 Final'!D134</f>
        <v>5402860</v>
      </c>
      <c r="AC134" s="161">
        <f>+E134-'[2]Data FY23-24 Final'!E134</f>
        <v>0</v>
      </c>
      <c r="AD134" s="161">
        <f>+F134-'[2]Data FY23-24 Final'!F134</f>
        <v>5402860</v>
      </c>
      <c r="AE134" s="161">
        <f>+G134-'[2]Data FY23-24 Final'!G134</f>
        <v>113300.77000000002</v>
      </c>
      <c r="AF134" s="186">
        <f>+H134-'[2]Data FY23-24 Final'!H134</f>
        <v>0</v>
      </c>
      <c r="AG134" s="186">
        <f>+I134-'[2]Data FY23-24 Final'!I134</f>
        <v>0</v>
      </c>
      <c r="AH134" s="186">
        <f>+J134-'[2]Data FY23-24 Final'!J134</f>
        <v>-0.28299999999999947</v>
      </c>
      <c r="AI134" s="186">
        <f>+K134-'[2]Data FY23-24 Final'!K134</f>
        <v>-3.6000000000000004E-2</v>
      </c>
      <c r="AJ134" s="186">
        <f>+L134-'[2]Data FY23-24 Final'!L134</f>
        <v>0.31900000000000028</v>
      </c>
      <c r="AK134" s="186">
        <f>+M134-'[2]Data FY23-24 Final'!M134</f>
        <v>-9.000000000000008E-3</v>
      </c>
      <c r="AL134" s="186">
        <f>+N134-'[2]Data FY23-24 Final'!N134</f>
        <v>0</v>
      </c>
      <c r="AM134" s="186">
        <f>+O134-'[2]Data FY23-24 Final'!O134</f>
        <v>-0.56700000000000017</v>
      </c>
      <c r="AN134" s="186">
        <f>+P134-'[2]Data FY23-24 Final'!P134</f>
        <v>2.1452611396185442E-2</v>
      </c>
      <c r="AO134" s="186">
        <f>+Q134-'[2]Data FY23-24 Final'!Q134</f>
        <v>-0.55454738860381436</v>
      </c>
      <c r="AP134" s="186">
        <f>+R134-'[2]Data FY23-24 Final'!R134</f>
        <v>-1.494</v>
      </c>
      <c r="AQ134" s="186">
        <f>+S134-'[2]Data FY23-24 Final'!S134</f>
        <v>0</v>
      </c>
      <c r="AR134" s="186">
        <f>+T134-'[2]Data FY23-24 Final'!T134</f>
        <v>0</v>
      </c>
      <c r="AS134" s="186">
        <f>+U134-'[2]Data FY23-24 Final'!U134</f>
        <v>0</v>
      </c>
      <c r="AT134" s="186">
        <f>+V134-'[2]Data FY23-24 Final'!V134</f>
        <v>0</v>
      </c>
      <c r="AU134" s="186">
        <f>+W134-'[2]Data FY23-24 Final'!W134</f>
        <v>-2.0485473886038141</v>
      </c>
      <c r="AV134" s="186">
        <f>+X134-'[2]Data FY23-24 Final'!X134</f>
        <v>0</v>
      </c>
      <c r="AW134" s="161">
        <f>+Y134-'[2]Data FY23-24 Final'!Y134</f>
        <v>-66547.410000000149</v>
      </c>
      <c r="AX134" s="161">
        <f>+Z134-'[2]Data FY23-24 Final'!Z134</f>
        <v>1619.9920807151357</v>
      </c>
    </row>
    <row r="135" spans="1:50" s="154" customFormat="1" x14ac:dyDescent="0.25">
      <c r="A135" s="187" t="s">
        <v>362</v>
      </c>
      <c r="B135" s="187" t="s">
        <v>363</v>
      </c>
      <c r="C135" s="194" t="s">
        <v>364</v>
      </c>
      <c r="D135" s="220">
        <v>17688577</v>
      </c>
      <c r="E135" s="220">
        <v>0</v>
      </c>
      <c r="F135" s="220">
        <f t="shared" si="17"/>
        <v>17688577</v>
      </c>
      <c r="G135" s="221">
        <v>3868</v>
      </c>
      <c r="H135" s="348">
        <v>27</v>
      </c>
      <c r="I135" s="348">
        <v>0</v>
      </c>
      <c r="J135" s="210">
        <f t="shared" ref="J135:J156" si="18">+H135-I135</f>
        <v>27</v>
      </c>
      <c r="K135" s="185">
        <v>0</v>
      </c>
      <c r="L135" s="197">
        <v>0</v>
      </c>
      <c r="M135" s="185">
        <v>0</v>
      </c>
      <c r="N135" s="210">
        <v>0</v>
      </c>
      <c r="O135" s="316">
        <v>0</v>
      </c>
      <c r="P135" s="211">
        <f t="shared" si="14"/>
        <v>0.21867219731694643</v>
      </c>
      <c r="Q135" s="317">
        <f t="shared" si="15"/>
        <v>27.218672197316945</v>
      </c>
      <c r="R135" s="196"/>
      <c r="S135" s="196"/>
      <c r="T135" s="196"/>
      <c r="U135" s="196"/>
      <c r="V135" s="196"/>
      <c r="W135" s="196">
        <f t="shared" si="16"/>
        <v>27.218672197316945</v>
      </c>
      <c r="X135" s="185">
        <v>190.959</v>
      </c>
      <c r="Y135" s="220">
        <v>3445903.88</v>
      </c>
      <c r="Z135" s="220">
        <v>2900197.0414</v>
      </c>
      <c r="AB135" s="161">
        <f>+D135-'[2]Data FY23-24 Final'!D135</f>
        <v>364265</v>
      </c>
      <c r="AC135" s="161">
        <f>+E135-'[2]Data FY23-24 Final'!E135</f>
        <v>0</v>
      </c>
      <c r="AD135" s="161">
        <f>+F135-'[2]Data FY23-24 Final'!F135</f>
        <v>364265</v>
      </c>
      <c r="AE135" s="161">
        <f>+G135-'[2]Data FY23-24 Final'!G135</f>
        <v>0</v>
      </c>
      <c r="AF135" s="186">
        <f>+H135-'[2]Data FY23-24 Final'!H135</f>
        <v>0</v>
      </c>
      <c r="AG135" s="186">
        <f>+I135-'[2]Data FY23-24 Final'!I135</f>
        <v>0</v>
      </c>
      <c r="AH135" s="186">
        <f>+J135-'[2]Data FY23-24 Final'!J135</f>
        <v>0</v>
      </c>
      <c r="AI135" s="186">
        <f>+K135-'[2]Data FY23-24 Final'!K135</f>
        <v>0</v>
      </c>
      <c r="AJ135" s="186">
        <f>+L135-'[2]Data FY23-24 Final'!L135</f>
        <v>0</v>
      </c>
      <c r="AK135" s="186">
        <f>+M135-'[2]Data FY23-24 Final'!M135</f>
        <v>0</v>
      </c>
      <c r="AL135" s="186">
        <f>+N135-'[2]Data FY23-24 Final'!N135</f>
        <v>0</v>
      </c>
      <c r="AM135" s="186">
        <f>+O135-'[2]Data FY23-24 Final'!O135</f>
        <v>0</v>
      </c>
      <c r="AN135" s="186">
        <f>+P135-'[2]Data FY23-24 Final'!P135</f>
        <v>-3.2780268305357407E-4</v>
      </c>
      <c r="AO135" s="186">
        <f>+Q135-'[2]Data FY23-24 Final'!Q135</f>
        <v>-3.278026830564329E-4</v>
      </c>
      <c r="AP135" s="186">
        <f>+R135-'[2]Data FY23-24 Final'!R135</f>
        <v>0</v>
      </c>
      <c r="AQ135" s="186">
        <f>+S135-'[2]Data FY23-24 Final'!S135</f>
        <v>0</v>
      </c>
      <c r="AR135" s="186">
        <f>+T135-'[2]Data FY23-24 Final'!T135</f>
        <v>0</v>
      </c>
      <c r="AS135" s="186">
        <f>+U135-'[2]Data FY23-24 Final'!U135</f>
        <v>0</v>
      </c>
      <c r="AT135" s="186">
        <f>+V135-'[2]Data FY23-24 Final'!V135</f>
        <v>0</v>
      </c>
      <c r="AU135" s="186">
        <f>+W135-'[2]Data FY23-24 Final'!W135</f>
        <v>-3.278026830564329E-4</v>
      </c>
      <c r="AV135" s="186">
        <f>+X135-'[2]Data FY23-24 Final'!X135</f>
        <v>0</v>
      </c>
      <c r="AW135" s="161">
        <f>+Y135-'[2]Data FY23-24 Final'!Y135</f>
        <v>143024.47999999998</v>
      </c>
      <c r="AX135" s="161">
        <f>+Z135-'[2]Data FY23-24 Final'!Z135</f>
        <v>130460.49540000036</v>
      </c>
    </row>
    <row r="136" spans="1:50" s="154" customFormat="1" x14ac:dyDescent="0.25">
      <c r="A136" s="187" t="s">
        <v>365</v>
      </c>
      <c r="B136" s="187" t="s">
        <v>363</v>
      </c>
      <c r="C136" s="194" t="s">
        <v>366</v>
      </c>
      <c r="D136" s="220">
        <v>101471821</v>
      </c>
      <c r="E136" s="220">
        <v>3780403</v>
      </c>
      <c r="F136" s="220">
        <f t="shared" si="17"/>
        <v>97691418</v>
      </c>
      <c r="G136" s="221">
        <v>11870</v>
      </c>
      <c r="H136" s="348">
        <v>27</v>
      </c>
      <c r="I136" s="348">
        <v>3.4049999999999976</v>
      </c>
      <c r="J136" s="210">
        <f t="shared" si="18"/>
        <v>23.595000000000002</v>
      </c>
      <c r="K136" s="185">
        <v>0</v>
      </c>
      <c r="L136" s="197">
        <v>0</v>
      </c>
      <c r="M136" s="185">
        <v>0</v>
      </c>
      <c r="N136" s="210">
        <v>0</v>
      </c>
      <c r="O136" s="316">
        <v>0</v>
      </c>
      <c r="P136" s="211">
        <f t="shared" si="14"/>
        <v>0.12150504356482981</v>
      </c>
      <c r="Q136" s="317">
        <f t="shared" si="15"/>
        <v>23.716505043564833</v>
      </c>
      <c r="R136" s="196"/>
      <c r="S136" s="196"/>
      <c r="T136" s="196"/>
      <c r="U136" s="196"/>
      <c r="V136" s="196"/>
      <c r="W136" s="196">
        <f t="shared" si="16"/>
        <v>23.716505043564833</v>
      </c>
      <c r="X136" s="185">
        <v>160.01399999999998</v>
      </c>
      <c r="Y136" s="220">
        <v>15923414.42</v>
      </c>
      <c r="Z136" s="220">
        <v>13424617.256490001</v>
      </c>
      <c r="AB136" s="161">
        <f>+D136-'[2]Data FY23-24 Final'!D136</f>
        <v>7150562</v>
      </c>
      <c r="AC136" s="161">
        <f>+E136-'[2]Data FY23-24 Final'!E136</f>
        <v>177509</v>
      </c>
      <c r="AD136" s="161">
        <f>+F136-'[2]Data FY23-24 Final'!F136</f>
        <v>6973053</v>
      </c>
      <c r="AE136" s="161">
        <f>+G136-'[2]Data FY23-24 Final'!G136</f>
        <v>0</v>
      </c>
      <c r="AF136" s="186">
        <f>+H136-'[2]Data FY23-24 Final'!H136</f>
        <v>0</v>
      </c>
      <c r="AG136" s="186">
        <f>+I136-'[2]Data FY23-24 Final'!I136</f>
        <v>-1.0000000000000027</v>
      </c>
      <c r="AH136" s="186">
        <f>+J136-'[2]Data FY23-24 Final'!J136</f>
        <v>1.0000000000000036</v>
      </c>
      <c r="AI136" s="186">
        <f>+K136-'[2]Data FY23-24 Final'!K136</f>
        <v>0</v>
      </c>
      <c r="AJ136" s="186">
        <f>+L136-'[2]Data FY23-24 Final'!L136</f>
        <v>0</v>
      </c>
      <c r="AK136" s="186">
        <f>+M136-'[2]Data FY23-24 Final'!M136</f>
        <v>0</v>
      </c>
      <c r="AL136" s="186">
        <f>+N136-'[2]Data FY23-24 Final'!N136</f>
        <v>0</v>
      </c>
      <c r="AM136" s="186">
        <f>+O136-'[2]Data FY23-24 Final'!O136</f>
        <v>0</v>
      </c>
      <c r="AN136" s="186">
        <f>+P136-'[2]Data FY23-24 Final'!P136</f>
        <v>-9.4949564351701904E-3</v>
      </c>
      <c r="AO136" s="186">
        <f>+Q136-'[2]Data FY23-24 Final'!Q136</f>
        <v>0.99050504356483415</v>
      </c>
      <c r="AP136" s="186">
        <f>+R136-'[2]Data FY23-24 Final'!R136</f>
        <v>-3.5830000000000002</v>
      </c>
      <c r="AQ136" s="186">
        <f>+S136-'[2]Data FY23-24 Final'!S136</f>
        <v>0</v>
      </c>
      <c r="AR136" s="186">
        <f>+T136-'[2]Data FY23-24 Final'!T136</f>
        <v>0</v>
      </c>
      <c r="AS136" s="186">
        <f>+U136-'[2]Data FY23-24 Final'!U136</f>
        <v>0</v>
      </c>
      <c r="AT136" s="186">
        <f>+V136-'[2]Data FY23-24 Final'!V136</f>
        <v>0</v>
      </c>
      <c r="AU136" s="186">
        <f>+W136-'[2]Data FY23-24 Final'!W136</f>
        <v>-2.5924949564351678</v>
      </c>
      <c r="AV136" s="186">
        <f>+X136-'[2]Data FY23-24 Final'!X136</f>
        <v>0</v>
      </c>
      <c r="AW136" s="161">
        <f>+Y136-'[2]Data FY23-24 Final'!Y136</f>
        <v>294921.63000000082</v>
      </c>
      <c r="AX136" s="161">
        <f>+Z136-'[2]Data FY23-24 Final'!Z136</f>
        <v>154732.25366500206</v>
      </c>
    </row>
    <row r="137" spans="1:50" s="154" customFormat="1" x14ac:dyDescent="0.25">
      <c r="A137" s="187" t="s">
        <v>367</v>
      </c>
      <c r="B137" s="187" t="s">
        <v>363</v>
      </c>
      <c r="C137" s="194" t="s">
        <v>368</v>
      </c>
      <c r="D137" s="220">
        <v>29705691</v>
      </c>
      <c r="E137" s="220">
        <v>0</v>
      </c>
      <c r="F137" s="220">
        <f t="shared" si="17"/>
        <v>29705691</v>
      </c>
      <c r="G137" s="221">
        <v>5511</v>
      </c>
      <c r="H137" s="348">
        <v>27</v>
      </c>
      <c r="I137" s="348">
        <v>0</v>
      </c>
      <c r="J137" s="210">
        <f t="shared" si="18"/>
        <v>27</v>
      </c>
      <c r="K137" s="185">
        <v>0</v>
      </c>
      <c r="L137" s="197">
        <v>0</v>
      </c>
      <c r="M137" s="185">
        <v>0</v>
      </c>
      <c r="N137" s="210">
        <v>0</v>
      </c>
      <c r="O137" s="316">
        <v>0</v>
      </c>
      <c r="P137" s="211">
        <f t="shared" si="14"/>
        <v>0.18552000692392578</v>
      </c>
      <c r="Q137" s="317">
        <f t="shared" si="15"/>
        <v>27.185520006923927</v>
      </c>
      <c r="R137" s="196"/>
      <c r="S137" s="196"/>
      <c r="T137" s="196"/>
      <c r="U137" s="196"/>
      <c r="V137" s="196"/>
      <c r="W137" s="196">
        <f t="shared" si="16"/>
        <v>27.185520006923927</v>
      </c>
      <c r="X137" s="185">
        <v>122.26299999999999</v>
      </c>
      <c r="Y137" s="220">
        <v>3785964.24</v>
      </c>
      <c r="Z137" s="220">
        <v>2829858.5712000001</v>
      </c>
      <c r="AB137" s="161">
        <f>+D137-'[2]Data FY23-24 Final'!D137</f>
        <v>844913</v>
      </c>
      <c r="AC137" s="161">
        <f>+E137-'[2]Data FY23-24 Final'!E137</f>
        <v>0</v>
      </c>
      <c r="AD137" s="161">
        <f>+F137-'[2]Data FY23-24 Final'!F137</f>
        <v>844913</v>
      </c>
      <c r="AE137" s="161">
        <f>+G137-'[2]Data FY23-24 Final'!G137</f>
        <v>0</v>
      </c>
      <c r="AF137" s="186">
        <f>+H137-'[2]Data FY23-24 Final'!H137</f>
        <v>0</v>
      </c>
      <c r="AG137" s="186">
        <f>+I137-'[2]Data FY23-24 Final'!I137</f>
        <v>0</v>
      </c>
      <c r="AH137" s="186">
        <f>+J137-'[2]Data FY23-24 Final'!J137</f>
        <v>0</v>
      </c>
      <c r="AI137" s="186">
        <f>+K137-'[2]Data FY23-24 Final'!K137</f>
        <v>0</v>
      </c>
      <c r="AJ137" s="186">
        <f>+L137-'[2]Data FY23-24 Final'!L137</f>
        <v>0</v>
      </c>
      <c r="AK137" s="186">
        <f>+M137-'[2]Data FY23-24 Final'!M137</f>
        <v>0</v>
      </c>
      <c r="AL137" s="186">
        <f>+N137-'[2]Data FY23-24 Final'!N137</f>
        <v>0</v>
      </c>
      <c r="AM137" s="186">
        <f>+O137-'[2]Data FY23-24 Final'!O137</f>
        <v>0</v>
      </c>
      <c r="AN137" s="186">
        <f>+P137-'[2]Data FY23-24 Final'!P137</f>
        <v>-5.4799930760742188E-3</v>
      </c>
      <c r="AO137" s="186">
        <f>+Q137-'[2]Data FY23-24 Final'!Q137</f>
        <v>-5.4799930760722759E-3</v>
      </c>
      <c r="AP137" s="186">
        <f>+R137-'[2]Data FY23-24 Final'!R137</f>
        <v>-8.7620000000000005</v>
      </c>
      <c r="AQ137" s="186">
        <f>+S137-'[2]Data FY23-24 Final'!S137</f>
        <v>0</v>
      </c>
      <c r="AR137" s="186">
        <f>+T137-'[2]Data FY23-24 Final'!T137</f>
        <v>0</v>
      </c>
      <c r="AS137" s="186">
        <f>+U137-'[2]Data FY23-24 Final'!U137</f>
        <v>0</v>
      </c>
      <c r="AT137" s="186">
        <f>+V137-'[2]Data FY23-24 Final'!V137</f>
        <v>0</v>
      </c>
      <c r="AU137" s="186">
        <f>+W137-'[2]Data FY23-24 Final'!W137</f>
        <v>-8.7674799930760763</v>
      </c>
      <c r="AV137" s="186">
        <f>+X137-'[2]Data FY23-24 Final'!X137</f>
        <v>0</v>
      </c>
      <c r="AW137" s="161">
        <f>+Y137-'[2]Data FY23-24 Final'!Y137</f>
        <v>64967.670000000391</v>
      </c>
      <c r="AX137" s="161">
        <f>+Z137-'[2]Data FY23-24 Final'!Z137</f>
        <v>1853.5572000001557</v>
      </c>
    </row>
    <row r="138" spans="1:50" s="154" customFormat="1" x14ac:dyDescent="0.25">
      <c r="A138" s="187" t="s">
        <v>369</v>
      </c>
      <c r="B138" s="187" t="s">
        <v>363</v>
      </c>
      <c r="C138" s="194" t="s">
        <v>370</v>
      </c>
      <c r="D138" s="220">
        <v>14105675</v>
      </c>
      <c r="E138" s="220">
        <v>0</v>
      </c>
      <c r="F138" s="220">
        <f t="shared" si="17"/>
        <v>14105675</v>
      </c>
      <c r="G138" s="221">
        <v>2087.88</v>
      </c>
      <c r="H138" s="348">
        <v>27</v>
      </c>
      <c r="I138" s="348">
        <v>0</v>
      </c>
      <c r="J138" s="210">
        <f t="shared" si="18"/>
        <v>27</v>
      </c>
      <c r="K138" s="185">
        <v>0</v>
      </c>
      <c r="L138" s="197">
        <v>0</v>
      </c>
      <c r="M138" s="185">
        <v>0</v>
      </c>
      <c r="N138" s="210">
        <v>0</v>
      </c>
      <c r="O138" s="316">
        <v>0</v>
      </c>
      <c r="P138" s="211">
        <f t="shared" si="14"/>
        <v>0.14801702151793517</v>
      </c>
      <c r="Q138" s="317">
        <f t="shared" si="15"/>
        <v>27.148017021517934</v>
      </c>
      <c r="R138" s="196"/>
      <c r="S138" s="196"/>
      <c r="T138" s="196"/>
      <c r="U138" s="196"/>
      <c r="V138" s="196"/>
      <c r="W138" s="196">
        <f t="shared" si="16"/>
        <v>27.148017021517934</v>
      </c>
      <c r="X138" s="185">
        <v>257.697</v>
      </c>
      <c r="Y138" s="220">
        <v>3676420.71</v>
      </c>
      <c r="Z138" s="220">
        <v>3254130.2656999999</v>
      </c>
      <c r="AB138" s="161">
        <f>+D138-'[2]Data FY23-24 Final'!D138</f>
        <v>795046</v>
      </c>
      <c r="AC138" s="161">
        <f>+E138-'[2]Data FY23-24 Final'!E138</f>
        <v>0</v>
      </c>
      <c r="AD138" s="161">
        <f>+F138-'[2]Data FY23-24 Final'!F138</f>
        <v>795046</v>
      </c>
      <c r="AE138" s="161">
        <f>+G138-'[2]Data FY23-24 Final'!G138</f>
        <v>0</v>
      </c>
      <c r="AF138" s="186">
        <f>+H138-'[2]Data FY23-24 Final'!H138</f>
        <v>0</v>
      </c>
      <c r="AG138" s="186">
        <f>+I138-'[2]Data FY23-24 Final'!I138</f>
        <v>0</v>
      </c>
      <c r="AH138" s="186">
        <f>+J138-'[2]Data FY23-24 Final'!J138</f>
        <v>0</v>
      </c>
      <c r="AI138" s="186">
        <f>+K138-'[2]Data FY23-24 Final'!K138</f>
        <v>0</v>
      </c>
      <c r="AJ138" s="186">
        <f>+L138-'[2]Data FY23-24 Final'!L138</f>
        <v>0</v>
      </c>
      <c r="AK138" s="186">
        <f>+M138-'[2]Data FY23-24 Final'!M138</f>
        <v>0</v>
      </c>
      <c r="AL138" s="186">
        <f>+N138-'[2]Data FY23-24 Final'!N138</f>
        <v>0</v>
      </c>
      <c r="AM138" s="186">
        <f>+O138-'[2]Data FY23-24 Final'!O138</f>
        <v>0</v>
      </c>
      <c r="AN138" s="186">
        <f>+P138-'[2]Data FY23-24 Final'!P138</f>
        <v>-8.9829784820648351E-3</v>
      </c>
      <c r="AO138" s="186">
        <f>+Q138-'[2]Data FY23-24 Final'!Q138</f>
        <v>-8.9829784820665282E-3</v>
      </c>
      <c r="AP138" s="186">
        <f>+R138-'[2]Data FY23-24 Final'!R138</f>
        <v>0</v>
      </c>
      <c r="AQ138" s="186">
        <f>+S138-'[2]Data FY23-24 Final'!S138</f>
        <v>0</v>
      </c>
      <c r="AR138" s="186">
        <f>+T138-'[2]Data FY23-24 Final'!T138</f>
        <v>0</v>
      </c>
      <c r="AS138" s="186">
        <f>+U138-'[2]Data FY23-24 Final'!U138</f>
        <v>0</v>
      </c>
      <c r="AT138" s="186">
        <f>+V138-'[2]Data FY23-24 Final'!V138</f>
        <v>0</v>
      </c>
      <c r="AU138" s="186">
        <f>+W138-'[2]Data FY23-24 Final'!W138</f>
        <v>-8.9829784820665282E-3</v>
      </c>
      <c r="AV138" s="186">
        <f>+X138-'[2]Data FY23-24 Final'!X138</f>
        <v>0</v>
      </c>
      <c r="AW138" s="161">
        <f>+Y138-'[2]Data FY23-24 Final'!Y138</f>
        <v>-34439.089999999851</v>
      </c>
      <c r="AX138" s="161">
        <f>+Z138-'[2]Data FY23-24 Final'!Z138</f>
        <v>-49074.31129999971</v>
      </c>
    </row>
    <row r="139" spans="1:50" s="154" customFormat="1" ht="13" x14ac:dyDescent="0.3">
      <c r="A139" s="187" t="s">
        <v>371</v>
      </c>
      <c r="B139" s="187" t="s">
        <v>372</v>
      </c>
      <c r="C139" s="194" t="s">
        <v>373</v>
      </c>
      <c r="D139" s="349">
        <v>1372895447</v>
      </c>
      <c r="E139" s="349">
        <v>123920438</v>
      </c>
      <c r="F139" s="349">
        <v>1248975009</v>
      </c>
      <c r="G139" s="350">
        <v>291596</v>
      </c>
      <c r="H139" s="348">
        <v>27</v>
      </c>
      <c r="I139" s="348">
        <v>0</v>
      </c>
      <c r="J139" s="210">
        <f t="shared" si="18"/>
        <v>27</v>
      </c>
      <c r="K139" s="185">
        <v>0</v>
      </c>
      <c r="L139" s="197">
        <v>0</v>
      </c>
      <c r="M139" s="185">
        <v>0</v>
      </c>
      <c r="N139" s="210">
        <v>0</v>
      </c>
      <c r="O139" s="316">
        <v>0</v>
      </c>
      <c r="P139" s="211">
        <f t="shared" si="14"/>
        <v>0.23346824227769636</v>
      </c>
      <c r="Q139" s="317">
        <f t="shared" si="15"/>
        <v>27.233468242277695</v>
      </c>
      <c r="R139" s="196"/>
      <c r="S139" s="196"/>
      <c r="T139" s="196"/>
      <c r="U139" s="196"/>
      <c r="V139" s="196"/>
      <c r="W139" s="196">
        <f t="shared" si="16"/>
        <v>27.233468242277695</v>
      </c>
      <c r="X139" s="185">
        <v>115.15599999999999</v>
      </c>
      <c r="Y139" s="220">
        <v>159482481.22</v>
      </c>
      <c r="Z139" s="220">
        <v>119623690.06640001</v>
      </c>
      <c r="AB139" s="161">
        <f>+D139-'[2]Data FY23-24 Final'!D139</f>
        <v>61877226</v>
      </c>
      <c r="AC139" s="161">
        <f>+E139-'[2]Data FY23-24 Final'!E139</f>
        <v>45591406</v>
      </c>
      <c r="AD139" s="161">
        <f>+F139-'[2]Data FY23-24 Final'!F139</f>
        <v>16285820</v>
      </c>
      <c r="AE139" s="161">
        <f>+G139-'[2]Data FY23-24 Final'!G139</f>
        <v>-654258.64</v>
      </c>
      <c r="AF139" s="186">
        <f>+H139-'[2]Data FY23-24 Final'!H139</f>
        <v>0</v>
      </c>
      <c r="AG139" s="186">
        <f>+I139-'[2]Data FY23-24 Final'!I139</f>
        <v>0</v>
      </c>
      <c r="AH139" s="186">
        <f>+J139-'[2]Data FY23-24 Final'!J139</f>
        <v>0</v>
      </c>
      <c r="AI139" s="186">
        <f>+K139-'[2]Data FY23-24 Final'!K139</f>
        <v>0</v>
      </c>
      <c r="AJ139" s="186">
        <f>+L139-'[2]Data FY23-24 Final'!L139</f>
        <v>0</v>
      </c>
      <c r="AK139" s="186">
        <f>+M139-'[2]Data FY23-24 Final'!M139</f>
        <v>0</v>
      </c>
      <c r="AL139" s="186">
        <f>+N139-'[2]Data FY23-24 Final'!N139</f>
        <v>0</v>
      </c>
      <c r="AM139" s="186">
        <f>+O139-'[2]Data FY23-24 Final'!O139</f>
        <v>0</v>
      </c>
      <c r="AN139" s="186">
        <f>+P139-'[2]Data FY23-24 Final'!P139</f>
        <v>-0.53353175772230366</v>
      </c>
      <c r="AO139" s="186">
        <f>+Q139-'[2]Data FY23-24 Final'!Q139</f>
        <v>-0.53353175772230443</v>
      </c>
      <c r="AP139" s="186">
        <f>+R139-'[2]Data FY23-24 Final'!R139</f>
        <v>-13.7</v>
      </c>
      <c r="AQ139" s="186">
        <f>+S139-'[2]Data FY23-24 Final'!S139</f>
        <v>0</v>
      </c>
      <c r="AR139" s="186">
        <f>+T139-'[2]Data FY23-24 Final'!T139</f>
        <v>0</v>
      </c>
      <c r="AS139" s="186">
        <f>+U139-'[2]Data FY23-24 Final'!U139</f>
        <v>0</v>
      </c>
      <c r="AT139" s="186">
        <f>+V139-'[2]Data FY23-24 Final'!V139</f>
        <v>0</v>
      </c>
      <c r="AU139" s="186">
        <f>+W139-'[2]Data FY23-24 Final'!W139</f>
        <v>-14.233531757722304</v>
      </c>
      <c r="AV139" s="186">
        <f>+X139-'[2]Data FY23-24 Final'!X139</f>
        <v>0</v>
      </c>
      <c r="AW139" s="161">
        <f>+Y139-'[2]Data FY23-24 Final'!Y139</f>
        <v>2235568.1899999976</v>
      </c>
      <c r="AX139" s="161">
        <f>+Z139-'[2]Data FY23-24 Final'!Z139</f>
        <v>-1208160.5305999964</v>
      </c>
    </row>
    <row r="140" spans="1:50" s="154" customFormat="1" ht="13" x14ac:dyDescent="0.3">
      <c r="A140" s="187" t="s">
        <v>374</v>
      </c>
      <c r="B140" s="187" t="s">
        <v>372</v>
      </c>
      <c r="C140" s="194" t="s">
        <v>375</v>
      </c>
      <c r="D140" s="349">
        <v>1053664218</v>
      </c>
      <c r="E140" s="349">
        <v>22030914</v>
      </c>
      <c r="F140" s="349">
        <v>1031633304</v>
      </c>
      <c r="G140" s="350">
        <v>16434</v>
      </c>
      <c r="H140" s="348">
        <v>27</v>
      </c>
      <c r="I140" s="348">
        <v>0</v>
      </c>
      <c r="J140" s="210">
        <f t="shared" si="18"/>
        <v>27</v>
      </c>
      <c r="K140" s="185">
        <v>0</v>
      </c>
      <c r="L140" s="197">
        <v>0</v>
      </c>
      <c r="M140" s="185">
        <v>0</v>
      </c>
      <c r="N140" s="210">
        <v>0</v>
      </c>
      <c r="O140" s="316">
        <v>0</v>
      </c>
      <c r="P140" s="211">
        <f t="shared" si="14"/>
        <v>1.5930078969222574E-2</v>
      </c>
      <c r="Q140" s="317">
        <f t="shared" si="15"/>
        <v>27.015930078969223</v>
      </c>
      <c r="R140" s="196"/>
      <c r="S140" s="196"/>
      <c r="T140" s="196"/>
      <c r="U140" s="196"/>
      <c r="V140" s="196"/>
      <c r="W140" s="196">
        <f t="shared" si="16"/>
        <v>27.015930078969223</v>
      </c>
      <c r="X140" s="185">
        <v>95.032000000000011</v>
      </c>
      <c r="Y140" s="220">
        <v>104697971.13</v>
      </c>
      <c r="Z140" s="220">
        <v>72643014.700199991</v>
      </c>
      <c r="AB140" s="161">
        <f>+D140-'[2]Data FY23-24 Final'!D140</f>
        <v>27431719</v>
      </c>
      <c r="AC140" s="161">
        <f>+E140-'[2]Data FY23-24 Final'!E140</f>
        <v>1514096</v>
      </c>
      <c r="AD140" s="161">
        <f>+F140-'[2]Data FY23-24 Final'!F140</f>
        <v>25917623</v>
      </c>
      <c r="AE140" s="161">
        <f>+G140-'[2]Data FY23-24 Final'!G140</f>
        <v>-169347</v>
      </c>
      <c r="AF140" s="186">
        <f>+H140-'[2]Data FY23-24 Final'!H140</f>
        <v>0</v>
      </c>
      <c r="AG140" s="186">
        <f>+I140-'[2]Data FY23-24 Final'!I140</f>
        <v>0</v>
      </c>
      <c r="AH140" s="186">
        <f>+J140-'[2]Data FY23-24 Final'!J140</f>
        <v>0</v>
      </c>
      <c r="AI140" s="186">
        <f>+K140-'[2]Data FY23-24 Final'!K140</f>
        <v>0</v>
      </c>
      <c r="AJ140" s="186">
        <f>+L140-'[2]Data FY23-24 Final'!L140</f>
        <v>0</v>
      </c>
      <c r="AK140" s="186">
        <f>+M140-'[2]Data FY23-24 Final'!M140</f>
        <v>0</v>
      </c>
      <c r="AL140" s="186">
        <f>+N140-'[2]Data FY23-24 Final'!N140</f>
        <v>0</v>
      </c>
      <c r="AM140" s="186">
        <f>+O140-'[2]Data FY23-24 Final'!O140</f>
        <v>0</v>
      </c>
      <c r="AN140" s="186">
        <f>+P140-'[2]Data FY23-24 Final'!P140</f>
        <v>-0.16906992103077742</v>
      </c>
      <c r="AO140" s="186">
        <f>+Q140-'[2]Data FY23-24 Final'!Q140</f>
        <v>-0.16906992103077556</v>
      </c>
      <c r="AP140" s="186">
        <f>+R140-'[2]Data FY23-24 Final'!R140</f>
        <v>-12.962999999999999</v>
      </c>
      <c r="AQ140" s="186">
        <f>+S140-'[2]Data FY23-24 Final'!S140</f>
        <v>0</v>
      </c>
      <c r="AR140" s="186">
        <f>+T140-'[2]Data FY23-24 Final'!T140</f>
        <v>0</v>
      </c>
      <c r="AS140" s="186">
        <f>+U140-'[2]Data FY23-24 Final'!U140</f>
        <v>0</v>
      </c>
      <c r="AT140" s="186">
        <f>+V140-'[2]Data FY23-24 Final'!V140</f>
        <v>0</v>
      </c>
      <c r="AU140" s="186">
        <f>+W140-'[2]Data FY23-24 Final'!W140</f>
        <v>-13.13206992103078</v>
      </c>
      <c r="AV140" s="186">
        <f>+X140-'[2]Data FY23-24 Final'!X140</f>
        <v>0</v>
      </c>
      <c r="AW140" s="161">
        <f>+Y140-'[2]Data FY23-24 Final'!Y140</f>
        <v>576771.73999999464</v>
      </c>
      <c r="AX140" s="161">
        <f>+Z140-'[2]Data FY23-24 Final'!Z140</f>
        <v>-2385507.7028000206</v>
      </c>
    </row>
    <row r="141" spans="1:50" s="154" customFormat="1" ht="13" x14ac:dyDescent="0.3">
      <c r="A141" s="187" t="s">
        <v>376</v>
      </c>
      <c r="B141" s="187" t="s">
        <v>377</v>
      </c>
      <c r="C141" s="194" t="s">
        <v>378</v>
      </c>
      <c r="D141" s="349">
        <v>507568040</v>
      </c>
      <c r="E141" s="349">
        <v>0</v>
      </c>
      <c r="F141" s="349">
        <v>507568040</v>
      </c>
      <c r="G141" s="350">
        <v>16994100</v>
      </c>
      <c r="H141" s="348">
        <v>5.7670000000000003</v>
      </c>
      <c r="I141" s="348">
        <v>0</v>
      </c>
      <c r="J141" s="210">
        <f t="shared" si="18"/>
        <v>5.7670000000000003</v>
      </c>
      <c r="K141" s="185">
        <v>0</v>
      </c>
      <c r="L141" s="197">
        <v>0</v>
      </c>
      <c r="M141" s="185">
        <v>0</v>
      </c>
      <c r="N141" s="210">
        <v>0</v>
      </c>
      <c r="O141" s="316">
        <v>0.60599999999999998</v>
      </c>
      <c r="P141" s="211">
        <f t="shared" si="14"/>
        <v>33.481422510369249</v>
      </c>
      <c r="Q141" s="317">
        <f t="shared" si="15"/>
        <v>39.854422510369247</v>
      </c>
      <c r="R141" s="196"/>
      <c r="S141" s="196"/>
      <c r="T141" s="196"/>
      <c r="U141" s="196"/>
      <c r="V141" s="196"/>
      <c r="W141" s="196">
        <f t="shared" si="16"/>
        <v>39.854422510369247</v>
      </c>
      <c r="X141" s="185">
        <v>11.077999999999999</v>
      </c>
      <c r="Y141" s="220">
        <v>7508312.0999999996</v>
      </c>
      <c r="Z141" s="220">
        <v>3546456.534239999</v>
      </c>
      <c r="AB141" s="161">
        <f>+D141-'[2]Data FY23-24 Final'!D141</f>
        <v>-155060850</v>
      </c>
      <c r="AC141" s="161">
        <f>+E141-'[2]Data FY23-24 Final'!E141</f>
        <v>0</v>
      </c>
      <c r="AD141" s="161">
        <f>+F141-'[2]Data FY23-24 Final'!F141</f>
        <v>-155060850</v>
      </c>
      <c r="AE141" s="161">
        <f>+G141-'[2]Data FY23-24 Final'!G141</f>
        <v>16994093.969999999</v>
      </c>
      <c r="AF141" s="186">
        <f>+H141-'[2]Data FY23-24 Final'!H141</f>
        <v>0</v>
      </c>
      <c r="AG141" s="186">
        <f>+I141-'[2]Data FY23-24 Final'!I141</f>
        <v>0</v>
      </c>
      <c r="AH141" s="186">
        <f>+J141-'[2]Data FY23-24 Final'!J141</f>
        <v>0</v>
      </c>
      <c r="AI141" s="186">
        <f>+K141-'[2]Data FY23-24 Final'!K141</f>
        <v>0</v>
      </c>
      <c r="AJ141" s="186">
        <f>+L141-'[2]Data FY23-24 Final'!L141</f>
        <v>0</v>
      </c>
      <c r="AK141" s="186">
        <f>+M141-'[2]Data FY23-24 Final'!M141</f>
        <v>0</v>
      </c>
      <c r="AL141" s="186">
        <f>+N141-'[2]Data FY23-24 Final'!N141</f>
        <v>0</v>
      </c>
      <c r="AM141" s="186">
        <f>+O141-'[2]Data FY23-24 Final'!O141</f>
        <v>-4.0000000000000036E-3</v>
      </c>
      <c r="AN141" s="186">
        <f>+P141-'[2]Data FY23-24 Final'!P141</f>
        <v>33.481422510369249</v>
      </c>
      <c r="AO141" s="186">
        <f>+Q141-'[2]Data FY23-24 Final'!Q141</f>
        <v>33.477422510369244</v>
      </c>
      <c r="AP141" s="186">
        <f>+R141-'[2]Data FY23-24 Final'!R141</f>
        <v>-6.9420000000000002</v>
      </c>
      <c r="AQ141" s="186">
        <f>+S141-'[2]Data FY23-24 Final'!S141</f>
        <v>0</v>
      </c>
      <c r="AR141" s="186">
        <f>+T141-'[2]Data FY23-24 Final'!T141</f>
        <v>0</v>
      </c>
      <c r="AS141" s="186">
        <f>+U141-'[2]Data FY23-24 Final'!U141</f>
        <v>0</v>
      </c>
      <c r="AT141" s="186">
        <f>+V141-'[2]Data FY23-24 Final'!V141</f>
        <v>0</v>
      </c>
      <c r="AU141" s="186">
        <f>+W141-'[2]Data FY23-24 Final'!W141</f>
        <v>26.535422510369244</v>
      </c>
      <c r="AV141" s="186">
        <f>+X141-'[2]Data FY23-24 Final'!X141</f>
        <v>0</v>
      </c>
      <c r="AW141" s="161">
        <f>+Y141-'[2]Data FY23-24 Final'!Y141</f>
        <v>-40462.419999999925</v>
      </c>
      <c r="AX141" s="161">
        <f>+Z141-'[2]Data FY23-24 Final'!Z141</f>
        <v>-51690.447130000219</v>
      </c>
    </row>
    <row r="142" spans="1:50" s="154" customFormat="1" ht="13" x14ac:dyDescent="0.3">
      <c r="A142" s="187" t="s">
        <v>379</v>
      </c>
      <c r="B142" s="187" t="s">
        <v>377</v>
      </c>
      <c r="C142" s="194" t="s">
        <v>380</v>
      </c>
      <c r="D142" s="349">
        <v>277233280</v>
      </c>
      <c r="E142" s="349">
        <v>0</v>
      </c>
      <c r="F142" s="349">
        <v>277233280</v>
      </c>
      <c r="G142" s="350">
        <v>492600</v>
      </c>
      <c r="H142" s="348">
        <v>6.1429999999999998</v>
      </c>
      <c r="I142" s="348">
        <v>2.7000000000000135E-2</v>
      </c>
      <c r="J142" s="210">
        <f t="shared" si="18"/>
        <v>6.1159999999999997</v>
      </c>
      <c r="K142" s="185">
        <v>0</v>
      </c>
      <c r="L142" s="197">
        <v>0</v>
      </c>
      <c r="M142" s="185">
        <v>1.8920000000000001</v>
      </c>
      <c r="N142" s="210">
        <v>0</v>
      </c>
      <c r="O142" s="316">
        <v>0</v>
      </c>
      <c r="P142" s="211">
        <f t="shared" si="14"/>
        <v>1.7768429533423982</v>
      </c>
      <c r="Q142" s="317">
        <f t="shared" si="15"/>
        <v>9.7848429533423982</v>
      </c>
      <c r="R142" s="196"/>
      <c r="S142" s="196"/>
      <c r="T142" s="196"/>
      <c r="U142" s="196"/>
      <c r="V142" s="196"/>
      <c r="W142" s="196">
        <f t="shared" si="16"/>
        <v>9.7848429533423982</v>
      </c>
      <c r="X142" s="185">
        <v>14.732000000000001</v>
      </c>
      <c r="Y142" s="220">
        <v>5286262.41</v>
      </c>
      <c r="Z142" s="220">
        <v>3412695.6232800004</v>
      </c>
      <c r="AB142" s="161">
        <f>+D142-'[2]Data FY23-24 Final'!D142</f>
        <v>-74941550</v>
      </c>
      <c r="AC142" s="161">
        <f>+E142-'[2]Data FY23-24 Final'!E142</f>
        <v>0</v>
      </c>
      <c r="AD142" s="161">
        <f>+F142-'[2]Data FY23-24 Final'!F142</f>
        <v>-74941550</v>
      </c>
      <c r="AE142" s="161">
        <f>+G142-'[2]Data FY23-24 Final'!G142</f>
        <v>492552.64</v>
      </c>
      <c r="AF142" s="186">
        <f>+H142-'[2]Data FY23-24 Final'!H142</f>
        <v>0</v>
      </c>
      <c r="AG142" s="186">
        <f>+I142-'[2]Data FY23-24 Final'!I142</f>
        <v>-0.99999999999999978</v>
      </c>
      <c r="AH142" s="186">
        <f>+J142-'[2]Data FY23-24 Final'!J142</f>
        <v>1</v>
      </c>
      <c r="AI142" s="186">
        <f>+K142-'[2]Data FY23-24 Final'!K142</f>
        <v>0</v>
      </c>
      <c r="AJ142" s="186">
        <f>+L142-'[2]Data FY23-24 Final'!L142</f>
        <v>0</v>
      </c>
      <c r="AK142" s="186">
        <f>+M142-'[2]Data FY23-24 Final'!M142</f>
        <v>-1.399999999999979E-2</v>
      </c>
      <c r="AL142" s="186">
        <f>+N142-'[2]Data FY23-24 Final'!N142</f>
        <v>0</v>
      </c>
      <c r="AM142" s="186">
        <f>+O142-'[2]Data FY23-24 Final'!O142</f>
        <v>-2.67</v>
      </c>
      <c r="AN142" s="186">
        <f>+P142-'[2]Data FY23-24 Final'!P142</f>
        <v>1.7768429533423982</v>
      </c>
      <c r="AO142" s="186">
        <f>+Q142-'[2]Data FY23-24 Final'!Q142</f>
        <v>9.2842953342398005E-2</v>
      </c>
      <c r="AP142" s="186">
        <f>+R142-'[2]Data FY23-24 Final'!R142</f>
        <v>0</v>
      </c>
      <c r="AQ142" s="186">
        <f>+S142-'[2]Data FY23-24 Final'!S142</f>
        <v>-0.96499999999999997</v>
      </c>
      <c r="AR142" s="186">
        <f>+T142-'[2]Data FY23-24 Final'!T142</f>
        <v>0</v>
      </c>
      <c r="AS142" s="186">
        <f>+U142-'[2]Data FY23-24 Final'!U142</f>
        <v>0</v>
      </c>
      <c r="AT142" s="186">
        <f>+V142-'[2]Data FY23-24 Final'!V142</f>
        <v>0</v>
      </c>
      <c r="AU142" s="186">
        <f>+W142-'[2]Data FY23-24 Final'!W142</f>
        <v>-0.87215704665760185</v>
      </c>
      <c r="AV142" s="186">
        <f>+X142-'[2]Data FY23-24 Final'!X142</f>
        <v>0</v>
      </c>
      <c r="AW142" s="161">
        <f>+Y142-'[2]Data FY23-24 Final'!Y142</f>
        <v>-22201.370000000112</v>
      </c>
      <c r="AX142" s="161">
        <f>+Z142-'[2]Data FY23-24 Final'!Z142</f>
        <v>-59435.686439999845</v>
      </c>
    </row>
    <row r="143" spans="1:50" s="154" customFormat="1" ht="13" x14ac:dyDescent="0.3">
      <c r="A143" s="187" t="s">
        <v>381</v>
      </c>
      <c r="B143" s="187" t="s">
        <v>382</v>
      </c>
      <c r="C143" s="194" t="s">
        <v>383</v>
      </c>
      <c r="D143" s="349">
        <v>116479689</v>
      </c>
      <c r="E143" s="349">
        <v>0</v>
      </c>
      <c r="F143" s="349">
        <v>116479689</v>
      </c>
      <c r="G143" s="350">
        <v>8563.51</v>
      </c>
      <c r="H143" s="348">
        <v>27</v>
      </c>
      <c r="I143" s="348">
        <v>6.6920000000000002</v>
      </c>
      <c r="J143" s="210">
        <f t="shared" si="18"/>
        <v>20.308</v>
      </c>
      <c r="K143" s="185">
        <v>0</v>
      </c>
      <c r="L143" s="197">
        <v>0</v>
      </c>
      <c r="M143" s="185">
        <v>0</v>
      </c>
      <c r="N143" s="210">
        <v>0</v>
      </c>
      <c r="O143" s="316">
        <v>6.8810000000000002</v>
      </c>
      <c r="P143" s="211">
        <f t="shared" si="14"/>
        <v>7.3519341213213574E-2</v>
      </c>
      <c r="Q143" s="317">
        <f t="shared" si="15"/>
        <v>27.262519341213213</v>
      </c>
      <c r="R143" s="196"/>
      <c r="S143" s="196"/>
      <c r="T143" s="196"/>
      <c r="U143" s="196"/>
      <c r="V143" s="196"/>
      <c r="W143" s="196">
        <f t="shared" si="16"/>
        <v>27.262519341213213</v>
      </c>
      <c r="X143" s="185">
        <v>39.650999999999996</v>
      </c>
      <c r="Y143" s="220">
        <v>5026687.97</v>
      </c>
      <c r="Z143" s="220">
        <v>2461371.6294</v>
      </c>
      <c r="AB143" s="161">
        <f>+D143-'[2]Data FY23-24 Final'!D143</f>
        <v>5001683</v>
      </c>
      <c r="AC143" s="161">
        <f>+E143-'[2]Data FY23-24 Final'!E143</f>
        <v>0</v>
      </c>
      <c r="AD143" s="161">
        <f>+F143-'[2]Data FY23-24 Final'!F143</f>
        <v>5001683</v>
      </c>
      <c r="AE143" s="161">
        <f>+G143-'[2]Data FY23-24 Final'!G143</f>
        <v>1855.17</v>
      </c>
      <c r="AF143" s="186">
        <f>+H143-'[2]Data FY23-24 Final'!H143</f>
        <v>0</v>
      </c>
      <c r="AG143" s="186">
        <f>+I143-'[2]Data FY23-24 Final'!I143</f>
        <v>-1</v>
      </c>
      <c r="AH143" s="186">
        <f>+J143-'[2]Data FY23-24 Final'!J143</f>
        <v>1</v>
      </c>
      <c r="AI143" s="186">
        <f>+K143-'[2]Data FY23-24 Final'!K143</f>
        <v>0</v>
      </c>
      <c r="AJ143" s="186">
        <f>+L143-'[2]Data FY23-24 Final'!L143</f>
        <v>0</v>
      </c>
      <c r="AK143" s="186">
        <f>+M143-'[2]Data FY23-24 Final'!M143</f>
        <v>0</v>
      </c>
      <c r="AL143" s="186">
        <f>+N143-'[2]Data FY23-24 Final'!N143</f>
        <v>0</v>
      </c>
      <c r="AM143" s="186">
        <f>+O143-'[2]Data FY23-24 Final'!O143</f>
        <v>-2.1189999999999998</v>
      </c>
      <c r="AN143" s="186">
        <f>+P143-'[2]Data FY23-24 Final'!P143</f>
        <v>1.3519341213213576E-2</v>
      </c>
      <c r="AO143" s="186">
        <f>+Q143-'[2]Data FY23-24 Final'!Q143</f>
        <v>-1.1054806587867851</v>
      </c>
      <c r="AP143" s="186">
        <f>+R143-'[2]Data FY23-24 Final'!R143</f>
        <v>-11.776999999999999</v>
      </c>
      <c r="AQ143" s="186">
        <f>+S143-'[2]Data FY23-24 Final'!S143</f>
        <v>0</v>
      </c>
      <c r="AR143" s="186">
        <f>+T143-'[2]Data FY23-24 Final'!T143</f>
        <v>0</v>
      </c>
      <c r="AS143" s="186">
        <f>+U143-'[2]Data FY23-24 Final'!U143</f>
        <v>0</v>
      </c>
      <c r="AT143" s="186">
        <f>+V143-'[2]Data FY23-24 Final'!V143</f>
        <v>0</v>
      </c>
      <c r="AU143" s="186">
        <f>+W143-'[2]Data FY23-24 Final'!W143</f>
        <v>-12.88248065878679</v>
      </c>
      <c r="AV143" s="186">
        <f>+X143-'[2]Data FY23-24 Final'!X143</f>
        <v>0</v>
      </c>
      <c r="AW143" s="161">
        <f>+Y143-'[2]Data FY23-24 Final'!Y143</f>
        <v>62744.879999999888</v>
      </c>
      <c r="AX143" s="161">
        <f>+Z143-'[2]Data FY23-24 Final'!Z143</f>
        <v>-116734.81075199973</v>
      </c>
    </row>
    <row r="144" spans="1:50" s="154" customFormat="1" ht="13" x14ac:dyDescent="0.3">
      <c r="A144" s="187" t="s">
        <v>384</v>
      </c>
      <c r="B144" s="187" t="s">
        <v>382</v>
      </c>
      <c r="C144" s="194" t="s">
        <v>385</v>
      </c>
      <c r="D144" s="349">
        <v>74442320</v>
      </c>
      <c r="E144" s="349">
        <v>0</v>
      </c>
      <c r="F144" s="349">
        <v>74442320</v>
      </c>
      <c r="G144" s="350">
        <v>921.11</v>
      </c>
      <c r="H144" s="348">
        <v>27</v>
      </c>
      <c r="I144" s="348">
        <v>0</v>
      </c>
      <c r="J144" s="210">
        <f t="shared" si="18"/>
        <v>27</v>
      </c>
      <c r="K144" s="185">
        <v>0</v>
      </c>
      <c r="L144" s="197">
        <v>0</v>
      </c>
      <c r="M144" s="185">
        <v>0</v>
      </c>
      <c r="N144" s="210">
        <v>0</v>
      </c>
      <c r="O144" s="316">
        <v>2.4350000000000001</v>
      </c>
      <c r="P144" s="211">
        <f t="shared" si="14"/>
        <v>1.2373472508648307E-2</v>
      </c>
      <c r="Q144" s="317">
        <f t="shared" si="15"/>
        <v>29.447373472508648</v>
      </c>
      <c r="R144" s="196"/>
      <c r="S144" s="196"/>
      <c r="T144" s="196"/>
      <c r="U144" s="196"/>
      <c r="V144" s="196"/>
      <c r="W144" s="196">
        <f t="shared" si="16"/>
        <v>29.447373472508648</v>
      </c>
      <c r="X144" s="185">
        <v>137.733</v>
      </c>
      <c r="Y144" s="220">
        <v>11268723.220000001</v>
      </c>
      <c r="Z144" s="220">
        <v>8866024.3892999999</v>
      </c>
      <c r="AB144" s="161">
        <f>+D144-'[2]Data FY23-24 Final'!D144</f>
        <v>1356436</v>
      </c>
      <c r="AC144" s="161">
        <f>+E144-'[2]Data FY23-24 Final'!E144</f>
        <v>0</v>
      </c>
      <c r="AD144" s="161">
        <f>+F144-'[2]Data FY23-24 Final'!F144</f>
        <v>1356436</v>
      </c>
      <c r="AE144" s="161">
        <f>+G144-'[2]Data FY23-24 Final'!G144</f>
        <v>-9016.6899999999987</v>
      </c>
      <c r="AF144" s="186">
        <f>+H144-'[2]Data FY23-24 Final'!H144</f>
        <v>0</v>
      </c>
      <c r="AG144" s="186">
        <f>+I144-'[2]Data FY23-24 Final'!I144</f>
        <v>0</v>
      </c>
      <c r="AH144" s="186">
        <f>+J144-'[2]Data FY23-24 Final'!J144</f>
        <v>0</v>
      </c>
      <c r="AI144" s="186">
        <f>+K144-'[2]Data FY23-24 Final'!K144</f>
        <v>0</v>
      </c>
      <c r="AJ144" s="186">
        <f>+L144-'[2]Data FY23-24 Final'!L144</f>
        <v>0</v>
      </c>
      <c r="AK144" s="186">
        <f>+M144-'[2]Data FY23-24 Final'!M144</f>
        <v>0</v>
      </c>
      <c r="AL144" s="186">
        <f>+N144-'[2]Data FY23-24 Final'!N144</f>
        <v>0</v>
      </c>
      <c r="AM144" s="186">
        <f>+O144-'[2]Data FY23-24 Final'!O144</f>
        <v>-0.2330000000000001</v>
      </c>
      <c r="AN144" s="186">
        <f>+P144-'[2]Data FY23-24 Final'!P144</f>
        <v>-0.1236265274913517</v>
      </c>
      <c r="AO144" s="186">
        <f>+Q144-'[2]Data FY23-24 Final'!Q144</f>
        <v>-0.35662652749135049</v>
      </c>
      <c r="AP144" s="186">
        <f>+R144-'[2]Data FY23-24 Final'!R144</f>
        <v>-7.8970000000000002</v>
      </c>
      <c r="AQ144" s="186">
        <f>+S144-'[2]Data FY23-24 Final'!S144</f>
        <v>0</v>
      </c>
      <c r="AR144" s="186">
        <f>+T144-'[2]Data FY23-24 Final'!T144</f>
        <v>0</v>
      </c>
      <c r="AS144" s="186">
        <f>+U144-'[2]Data FY23-24 Final'!U144</f>
        <v>0</v>
      </c>
      <c r="AT144" s="186">
        <f>+V144-'[2]Data FY23-24 Final'!V144</f>
        <v>0</v>
      </c>
      <c r="AU144" s="186">
        <f>+W144-'[2]Data FY23-24 Final'!W144</f>
        <v>-8.2536265274913525</v>
      </c>
      <c r="AV144" s="186">
        <f>+X144-'[2]Data FY23-24 Final'!X144</f>
        <v>0</v>
      </c>
      <c r="AW144" s="161">
        <f>+Y144-'[2]Data FY23-24 Final'!Y144</f>
        <v>329461.20000000112</v>
      </c>
      <c r="AX144" s="161">
        <f>+Z144-'[2]Data FY23-24 Final'!Z144</f>
        <v>168900.70730000176</v>
      </c>
    </row>
    <row r="145" spans="1:50" s="154" customFormat="1" ht="13" x14ac:dyDescent="0.3">
      <c r="A145" s="187" t="s">
        <v>386</v>
      </c>
      <c r="B145" s="187" t="s">
        <v>382</v>
      </c>
      <c r="C145" s="194" t="s">
        <v>387</v>
      </c>
      <c r="D145" s="349">
        <v>43673037</v>
      </c>
      <c r="E145" s="349">
        <v>0</v>
      </c>
      <c r="F145" s="349">
        <v>43673037</v>
      </c>
      <c r="G145" s="350">
        <v>20447.86</v>
      </c>
      <c r="H145" s="348">
        <v>27</v>
      </c>
      <c r="I145" s="348">
        <v>0</v>
      </c>
      <c r="J145" s="210">
        <f t="shared" si="18"/>
        <v>27</v>
      </c>
      <c r="K145" s="185">
        <v>0</v>
      </c>
      <c r="L145" s="197">
        <v>0</v>
      </c>
      <c r="M145" s="185">
        <v>0</v>
      </c>
      <c r="N145" s="210">
        <v>0</v>
      </c>
      <c r="O145" s="316">
        <v>1.6800000000000002</v>
      </c>
      <c r="P145" s="211">
        <f t="shared" si="14"/>
        <v>0.4682032989828484</v>
      </c>
      <c r="Q145" s="317">
        <f t="shared" si="15"/>
        <v>29.14820329898285</v>
      </c>
      <c r="R145" s="196"/>
      <c r="S145" s="196"/>
      <c r="T145" s="196"/>
      <c r="U145" s="196"/>
      <c r="V145" s="196"/>
      <c r="W145" s="196">
        <f t="shared" si="16"/>
        <v>29.14820329898285</v>
      </c>
      <c r="X145" s="185">
        <v>95.089000000000013</v>
      </c>
      <c r="Y145" s="220">
        <v>4464695.58</v>
      </c>
      <c r="Z145" s="220">
        <v>3039526.1596999997</v>
      </c>
      <c r="AB145" s="161">
        <f>+D145-'[2]Data FY23-24 Final'!D145</f>
        <v>165060</v>
      </c>
      <c r="AC145" s="161">
        <f>+E145-'[2]Data FY23-24 Final'!E145</f>
        <v>0</v>
      </c>
      <c r="AD145" s="161">
        <f>+F145-'[2]Data FY23-24 Final'!F145</f>
        <v>165060</v>
      </c>
      <c r="AE145" s="161">
        <f>+G145-'[2]Data FY23-24 Final'!G145</f>
        <v>20447.86</v>
      </c>
      <c r="AF145" s="186">
        <f>+H145-'[2]Data FY23-24 Final'!H145</f>
        <v>0</v>
      </c>
      <c r="AG145" s="186">
        <f>+I145-'[2]Data FY23-24 Final'!I145</f>
        <v>0</v>
      </c>
      <c r="AH145" s="186">
        <f>+J145-'[2]Data FY23-24 Final'!J145</f>
        <v>0</v>
      </c>
      <c r="AI145" s="186">
        <f>+K145-'[2]Data FY23-24 Final'!K145</f>
        <v>0</v>
      </c>
      <c r="AJ145" s="186">
        <f>+L145-'[2]Data FY23-24 Final'!L145</f>
        <v>0</v>
      </c>
      <c r="AK145" s="186">
        <f>+M145-'[2]Data FY23-24 Final'!M145</f>
        <v>0</v>
      </c>
      <c r="AL145" s="186">
        <f>+N145-'[2]Data FY23-24 Final'!N145</f>
        <v>0</v>
      </c>
      <c r="AM145" s="186">
        <f>+O145-'[2]Data FY23-24 Final'!O145</f>
        <v>-4.3999999999999817E-2</v>
      </c>
      <c r="AN145" s="186">
        <f>+P145-'[2]Data FY23-24 Final'!P145</f>
        <v>0.4682032989828484</v>
      </c>
      <c r="AO145" s="186">
        <f>+Q145-'[2]Data FY23-24 Final'!Q145</f>
        <v>0.42420329898284947</v>
      </c>
      <c r="AP145" s="186">
        <f>+R145-'[2]Data FY23-24 Final'!R145</f>
        <v>-8.9169999999999998</v>
      </c>
      <c r="AQ145" s="186">
        <f>+S145-'[2]Data FY23-24 Final'!S145</f>
        <v>0</v>
      </c>
      <c r="AR145" s="186">
        <f>+T145-'[2]Data FY23-24 Final'!T145</f>
        <v>0</v>
      </c>
      <c r="AS145" s="186">
        <f>+U145-'[2]Data FY23-24 Final'!U145</f>
        <v>0</v>
      </c>
      <c r="AT145" s="186">
        <f>+V145-'[2]Data FY23-24 Final'!V145</f>
        <v>0</v>
      </c>
      <c r="AU145" s="186">
        <f>+W145-'[2]Data FY23-24 Final'!W145</f>
        <v>-8.4927967010171486</v>
      </c>
      <c r="AV145" s="186">
        <f>+X145-'[2]Data FY23-24 Final'!X145</f>
        <v>0</v>
      </c>
      <c r="AW145" s="161">
        <f>+Y145-'[2]Data FY23-24 Final'!Y145</f>
        <v>77358.650000000373</v>
      </c>
      <c r="AX145" s="161">
        <f>+Z145-'[2]Data FY23-24 Final'!Z145</f>
        <v>-36478.451300000306</v>
      </c>
    </row>
    <row r="146" spans="1:50" s="154" customFormat="1" ht="13" x14ac:dyDescent="0.3">
      <c r="A146" s="187" t="s">
        <v>388</v>
      </c>
      <c r="B146" s="187" t="s">
        <v>389</v>
      </c>
      <c r="C146" s="194" t="s">
        <v>390</v>
      </c>
      <c r="D146" s="349">
        <v>149047910</v>
      </c>
      <c r="E146" s="349">
        <v>0</v>
      </c>
      <c r="F146" s="349">
        <v>149047910</v>
      </c>
      <c r="G146" s="350">
        <v>42504.639999999999</v>
      </c>
      <c r="H146" s="348">
        <v>27</v>
      </c>
      <c r="I146" s="348">
        <v>2.4140000000000015</v>
      </c>
      <c r="J146" s="210">
        <f t="shared" si="18"/>
        <v>24.585999999999999</v>
      </c>
      <c r="K146" s="185">
        <v>0</v>
      </c>
      <c r="L146" s="197">
        <v>0</v>
      </c>
      <c r="M146" s="185">
        <v>0</v>
      </c>
      <c r="N146" s="210">
        <v>0</v>
      </c>
      <c r="O146" s="316">
        <v>6.0270000000000001</v>
      </c>
      <c r="P146" s="211">
        <f t="shared" si="14"/>
        <v>0.28517434427628002</v>
      </c>
      <c r="Q146" s="317">
        <f t="shared" si="15"/>
        <v>30.898174344276281</v>
      </c>
      <c r="R146" s="196"/>
      <c r="S146" s="196"/>
      <c r="T146" s="196"/>
      <c r="U146" s="196"/>
      <c r="V146" s="196"/>
      <c r="W146" s="196">
        <f t="shared" si="16"/>
        <v>30.898174344276281</v>
      </c>
      <c r="X146" s="185">
        <v>35.36</v>
      </c>
      <c r="Y146" s="220">
        <v>5535012.25</v>
      </c>
      <c r="Z146" s="220">
        <v>1768964.5347799999</v>
      </c>
      <c r="AB146" s="161">
        <f>+D146-'[2]Data FY23-24 Final'!D146</f>
        <v>2679240</v>
      </c>
      <c r="AC146" s="161">
        <f>+E146-'[2]Data FY23-24 Final'!E146</f>
        <v>0</v>
      </c>
      <c r="AD146" s="161">
        <f>+F146-'[2]Data FY23-24 Final'!F146</f>
        <v>2679240</v>
      </c>
      <c r="AE146" s="161">
        <f>+G146-'[2]Data FY23-24 Final'!G146</f>
        <v>1364.5400000000009</v>
      </c>
      <c r="AF146" s="186">
        <f>+H146-'[2]Data FY23-24 Final'!H146</f>
        <v>0</v>
      </c>
      <c r="AG146" s="186">
        <f>+I146-'[2]Data FY23-24 Final'!I146</f>
        <v>-0.99999999999999867</v>
      </c>
      <c r="AH146" s="186">
        <f>+J146-'[2]Data FY23-24 Final'!J146</f>
        <v>1</v>
      </c>
      <c r="AI146" s="186">
        <f>+K146-'[2]Data FY23-24 Final'!K146</f>
        <v>0</v>
      </c>
      <c r="AJ146" s="186">
        <f>+L146-'[2]Data FY23-24 Final'!L146</f>
        <v>0</v>
      </c>
      <c r="AK146" s="186">
        <f>+M146-'[2]Data FY23-24 Final'!M146</f>
        <v>0</v>
      </c>
      <c r="AL146" s="186">
        <f>+N146-'[2]Data FY23-24 Final'!N146</f>
        <v>0</v>
      </c>
      <c r="AM146" s="186">
        <f>+O146-'[2]Data FY23-24 Final'!O146</f>
        <v>-0.15899999999999981</v>
      </c>
      <c r="AN146" s="186">
        <f>+P146-'[2]Data FY23-24 Final'!P146</f>
        <v>4.1743442762799954E-3</v>
      </c>
      <c r="AO146" s="186">
        <f>+Q146-'[2]Data FY23-24 Final'!Q146</f>
        <v>0.84517434427628046</v>
      </c>
      <c r="AP146" s="186">
        <f>+R146-'[2]Data FY23-24 Final'!R146</f>
        <v>-13.288</v>
      </c>
      <c r="AQ146" s="186">
        <f>+S146-'[2]Data FY23-24 Final'!S146</f>
        <v>0</v>
      </c>
      <c r="AR146" s="186">
        <f>+T146-'[2]Data FY23-24 Final'!T146</f>
        <v>0</v>
      </c>
      <c r="AS146" s="186">
        <f>+U146-'[2]Data FY23-24 Final'!U146</f>
        <v>0</v>
      </c>
      <c r="AT146" s="186">
        <f>+V146-'[2]Data FY23-24 Final'!V146</f>
        <v>0</v>
      </c>
      <c r="AU146" s="186">
        <f>+W146-'[2]Data FY23-24 Final'!W146</f>
        <v>-12.44282565572372</v>
      </c>
      <c r="AV146" s="186">
        <f>+X146-'[2]Data FY23-24 Final'!X146</f>
        <v>0</v>
      </c>
      <c r="AW146" s="161">
        <f>+Y146-'[2]Data FY23-24 Final'!Y146</f>
        <v>98365.259999999776</v>
      </c>
      <c r="AX146" s="161">
        <f>+Z146-'[2]Data FY23-24 Final'!Z146</f>
        <v>-5071.5946000006516</v>
      </c>
    </row>
    <row r="147" spans="1:50" s="154" customFormat="1" ht="13" x14ac:dyDescent="0.3">
      <c r="A147" s="187" t="s">
        <v>391</v>
      </c>
      <c r="B147" s="187" t="s">
        <v>389</v>
      </c>
      <c r="C147" s="194" t="s">
        <v>392</v>
      </c>
      <c r="D147" s="349">
        <v>1823545190</v>
      </c>
      <c r="E147" s="349">
        <v>95030089</v>
      </c>
      <c r="F147" s="349">
        <v>1728518101</v>
      </c>
      <c r="G147" s="350">
        <v>125053.48</v>
      </c>
      <c r="H147" s="348">
        <v>8.5960000000000001</v>
      </c>
      <c r="I147" s="348">
        <v>2.3330000000000002</v>
      </c>
      <c r="J147" s="210">
        <f t="shared" si="18"/>
        <v>6.2629999999999999</v>
      </c>
      <c r="K147" s="185">
        <v>0</v>
      </c>
      <c r="L147" s="197">
        <v>0</v>
      </c>
      <c r="M147" s="185">
        <v>0.6130000000000001</v>
      </c>
      <c r="N147" s="222">
        <v>0</v>
      </c>
      <c r="O147" s="316">
        <v>0.90600000000000003</v>
      </c>
      <c r="P147" s="211">
        <f t="shared" si="14"/>
        <v>7.2347220389333944E-2</v>
      </c>
      <c r="Q147" s="317">
        <f t="shared" si="15"/>
        <v>7.8543472203893341</v>
      </c>
      <c r="R147" s="196"/>
      <c r="S147" s="196"/>
      <c r="T147" s="196"/>
      <c r="U147" s="351"/>
      <c r="V147" s="351"/>
      <c r="W147" s="196">
        <f t="shared" si="16"/>
        <v>7.8543472203893341</v>
      </c>
      <c r="X147" s="185">
        <v>16.143999999999998</v>
      </c>
      <c r="Y147" s="220">
        <v>28850047.27</v>
      </c>
      <c r="Z147" s="220">
        <v>17284545.253405001</v>
      </c>
      <c r="AB147" s="161">
        <f>+D147-'[2]Data FY23-24 Final'!D147</f>
        <v>13167290</v>
      </c>
      <c r="AC147" s="161">
        <f>+E147-'[2]Data FY23-24 Final'!E147</f>
        <v>1492065</v>
      </c>
      <c r="AD147" s="161">
        <f>+F147-'[2]Data FY23-24 Final'!F147</f>
        <v>11678225</v>
      </c>
      <c r="AE147" s="161">
        <f>+G147-'[2]Data FY23-24 Final'!G147</f>
        <v>66680.479999999996</v>
      </c>
      <c r="AF147" s="186">
        <f>+H147-'[2]Data FY23-24 Final'!H147</f>
        <v>-0.80299999999999905</v>
      </c>
      <c r="AG147" s="186">
        <f>+I147-'[2]Data FY23-24 Final'!I147</f>
        <v>2.3330000000000002</v>
      </c>
      <c r="AH147" s="186">
        <f>+J147-'[2]Data FY23-24 Final'!J147</f>
        <v>0</v>
      </c>
      <c r="AI147" s="186">
        <f>+K147-'[2]Data FY23-24 Final'!K147</f>
        <v>0</v>
      </c>
      <c r="AJ147" s="186">
        <f>+L147-'[2]Data FY23-24 Final'!L147</f>
        <v>0</v>
      </c>
      <c r="AK147" s="186">
        <f>+M147-'[2]Data FY23-24 Final'!M147</f>
        <v>-6.9999999999998952E-3</v>
      </c>
      <c r="AL147" s="186">
        <f>+N147-'[2]Data FY23-24 Final'!N147</f>
        <v>0</v>
      </c>
      <c r="AM147" s="186">
        <f>+O147-'[2]Data FY23-24 Final'!O147</f>
        <v>-2.4529999999999998</v>
      </c>
      <c r="AN147" s="186">
        <f>+P147-'[2]Data FY23-24 Final'!P147</f>
        <v>3.8347220389333941E-2</v>
      </c>
      <c r="AO147" s="186">
        <f>+Q147-'[2]Data FY23-24 Final'!Q147</f>
        <v>-2.4216527796106657</v>
      </c>
      <c r="AP147" s="186">
        <f>+R147-'[2]Data FY23-24 Final'!R147</f>
        <v>-5.4509999999999996</v>
      </c>
      <c r="AQ147" s="186">
        <f>+S147-'[2]Data FY23-24 Final'!S147</f>
        <v>0</v>
      </c>
      <c r="AR147" s="186">
        <f>+T147-'[2]Data FY23-24 Final'!T147</f>
        <v>0</v>
      </c>
      <c r="AS147" s="186">
        <f>+U147-'[2]Data FY23-24 Final'!U147</f>
        <v>-1.1459999999999999</v>
      </c>
      <c r="AT147" s="186">
        <f>+V147-'[2]Data FY23-24 Final'!V147</f>
        <v>0</v>
      </c>
      <c r="AU147" s="186">
        <f>+W147-'[2]Data FY23-24 Final'!W147</f>
        <v>-9.018652779610667</v>
      </c>
      <c r="AV147" s="186">
        <f>+X147-'[2]Data FY23-24 Final'!X147</f>
        <v>0</v>
      </c>
      <c r="AW147" s="161">
        <f>+Y147-'[2]Data FY23-24 Final'!Y147</f>
        <v>1694209.2100000009</v>
      </c>
      <c r="AX147" s="161">
        <f>+Z147-'[2]Data FY23-24 Final'!Z147</f>
        <v>1003777.3176770005</v>
      </c>
    </row>
    <row r="148" spans="1:50" s="154" customFormat="1" ht="13" x14ac:dyDescent="0.3">
      <c r="A148" s="187" t="s">
        <v>393</v>
      </c>
      <c r="B148" s="187" t="s">
        <v>389</v>
      </c>
      <c r="C148" s="194" t="s">
        <v>394</v>
      </c>
      <c r="D148" s="349">
        <v>135061800</v>
      </c>
      <c r="E148" s="349">
        <v>0</v>
      </c>
      <c r="F148" s="349">
        <v>135061800</v>
      </c>
      <c r="G148" s="350">
        <v>20314.71</v>
      </c>
      <c r="H148" s="357">
        <v>21.283000000000001</v>
      </c>
      <c r="I148" s="357">
        <v>0</v>
      </c>
      <c r="J148" s="210">
        <f t="shared" si="18"/>
        <v>21.283000000000001</v>
      </c>
      <c r="K148" s="185">
        <v>0</v>
      </c>
      <c r="L148" s="197">
        <v>0</v>
      </c>
      <c r="M148" s="185">
        <v>0</v>
      </c>
      <c r="N148" s="210">
        <v>0</v>
      </c>
      <c r="O148" s="316">
        <v>6.617</v>
      </c>
      <c r="P148" s="211">
        <f t="shared" si="14"/>
        <v>0.15041047875861271</v>
      </c>
      <c r="Q148" s="317">
        <f t="shared" si="15"/>
        <v>28.050410478758614</v>
      </c>
      <c r="R148" s="196"/>
      <c r="S148" s="196"/>
      <c r="T148" s="196"/>
      <c r="U148" s="351"/>
      <c r="V148" s="351"/>
      <c r="W148" s="196">
        <f t="shared" si="16"/>
        <v>28.050410478758614</v>
      </c>
      <c r="X148" s="185">
        <v>32.368000000000002</v>
      </c>
      <c r="Y148" s="220">
        <v>4711762.1399999997</v>
      </c>
      <c r="Z148" s="220">
        <v>1532050.3386499998</v>
      </c>
      <c r="AB148" s="161">
        <f>+D148-'[2]Data FY23-24 Final'!D148</f>
        <v>2100210</v>
      </c>
      <c r="AC148" s="161">
        <f>+E148-'[2]Data FY23-24 Final'!E148</f>
        <v>0</v>
      </c>
      <c r="AD148" s="161">
        <f>+F148-'[2]Data FY23-24 Final'!F148</f>
        <v>2100210</v>
      </c>
      <c r="AE148" s="161">
        <f>+G148-'[2]Data FY23-24 Final'!G148</f>
        <v>12278.169999999998</v>
      </c>
      <c r="AF148" s="186">
        <f>+H148-'[2]Data FY23-24 Final'!H148</f>
        <v>0</v>
      </c>
      <c r="AG148" s="186">
        <f>+I148-'[2]Data FY23-24 Final'!I148</f>
        <v>0</v>
      </c>
      <c r="AH148" s="186">
        <f>+J148-'[2]Data FY23-24 Final'!J148</f>
        <v>0</v>
      </c>
      <c r="AI148" s="186">
        <f>+K148-'[2]Data FY23-24 Final'!K148</f>
        <v>0</v>
      </c>
      <c r="AJ148" s="186">
        <f>+L148-'[2]Data FY23-24 Final'!L148</f>
        <v>0</v>
      </c>
      <c r="AK148" s="186">
        <f>+M148-'[2]Data FY23-24 Final'!M148</f>
        <v>0</v>
      </c>
      <c r="AL148" s="186">
        <f>+N148-'[2]Data FY23-24 Final'!N148</f>
        <v>0</v>
      </c>
      <c r="AM148" s="186">
        <f>+O148-'[2]Data FY23-24 Final'!O148</f>
        <v>-2.2440000000000007</v>
      </c>
      <c r="AN148" s="186">
        <f>+P148-'[2]Data FY23-24 Final'!P148</f>
        <v>8.9410478758612716E-2</v>
      </c>
      <c r="AO148" s="186">
        <f>+Q148-'[2]Data FY23-24 Final'!Q148</f>
        <v>-2.1545895212413839</v>
      </c>
      <c r="AP148" s="186">
        <f>+R148-'[2]Data FY23-24 Final'!R148</f>
        <v>0</v>
      </c>
      <c r="AQ148" s="186">
        <f>+S148-'[2]Data FY23-24 Final'!S148</f>
        <v>-2.0699999999999998</v>
      </c>
      <c r="AR148" s="186">
        <f>+T148-'[2]Data FY23-24 Final'!T148</f>
        <v>0</v>
      </c>
      <c r="AS148" s="186">
        <f>+U148-'[2]Data FY23-24 Final'!U148</f>
        <v>-7.0410000000000004</v>
      </c>
      <c r="AT148" s="186">
        <f>+V148-'[2]Data FY23-24 Final'!V148</f>
        <v>0</v>
      </c>
      <c r="AU148" s="186">
        <f>+W148-'[2]Data FY23-24 Final'!W148</f>
        <v>-11.265589521241388</v>
      </c>
      <c r="AV148" s="186">
        <f>+X148-'[2]Data FY23-24 Final'!X148</f>
        <v>0</v>
      </c>
      <c r="AW148" s="161">
        <f>+Y148-'[2]Data FY23-24 Final'!Y148</f>
        <v>90531.069999999367</v>
      </c>
      <c r="AX148" s="161">
        <f>+Z148-'[2]Data FY23-24 Final'!Z148</f>
        <v>-62194.681380000664</v>
      </c>
    </row>
    <row r="149" spans="1:50" s="154" customFormat="1" ht="13" x14ac:dyDescent="0.3">
      <c r="A149" s="187" t="s">
        <v>395</v>
      </c>
      <c r="B149" s="187" t="s">
        <v>396</v>
      </c>
      <c r="C149" s="194" t="s">
        <v>397</v>
      </c>
      <c r="D149" s="349">
        <v>32339917</v>
      </c>
      <c r="E149" s="349">
        <v>0</v>
      </c>
      <c r="F149" s="349">
        <v>32339917</v>
      </c>
      <c r="G149" s="350">
        <v>1909.4</v>
      </c>
      <c r="H149" s="348">
        <v>27</v>
      </c>
      <c r="I149" s="348">
        <v>0</v>
      </c>
      <c r="J149" s="210">
        <f t="shared" si="18"/>
        <v>27</v>
      </c>
      <c r="K149" s="185">
        <v>0</v>
      </c>
      <c r="L149" s="197">
        <v>0</v>
      </c>
      <c r="M149" s="185">
        <v>0</v>
      </c>
      <c r="N149" s="210">
        <v>0</v>
      </c>
      <c r="O149" s="316">
        <v>0</v>
      </c>
      <c r="P149" s="211">
        <f t="shared" si="14"/>
        <v>5.9041586284838028E-2</v>
      </c>
      <c r="Q149" s="317">
        <f t="shared" si="15"/>
        <v>27.059041586284838</v>
      </c>
      <c r="R149" s="196"/>
      <c r="S149" s="196"/>
      <c r="T149" s="196"/>
      <c r="U149" s="196"/>
      <c r="V149" s="196"/>
      <c r="W149" s="196">
        <f t="shared" si="16"/>
        <v>27.059041586284838</v>
      </c>
      <c r="X149" s="185">
        <v>86.236999999999995</v>
      </c>
      <c r="Y149" s="220">
        <v>3029305.03</v>
      </c>
      <c r="Z149" s="220">
        <v>2032266.9458039997</v>
      </c>
      <c r="AB149" s="161">
        <f>+D149-'[2]Data FY23-24 Final'!D149</f>
        <v>417348</v>
      </c>
      <c r="AC149" s="161">
        <f>+E149-'[2]Data FY23-24 Final'!E149</f>
        <v>0</v>
      </c>
      <c r="AD149" s="161">
        <f>+F149-'[2]Data FY23-24 Final'!F149</f>
        <v>417348</v>
      </c>
      <c r="AE149" s="161">
        <f>+G149-'[2]Data FY23-24 Final'!G149</f>
        <v>1909.4</v>
      </c>
      <c r="AF149" s="186">
        <f>+H149-'[2]Data FY23-24 Final'!H149</f>
        <v>0</v>
      </c>
      <c r="AG149" s="186">
        <f>+I149-'[2]Data FY23-24 Final'!I149</f>
        <v>-0.442</v>
      </c>
      <c r="AH149" s="186">
        <f>+J149-'[2]Data FY23-24 Final'!J149</f>
        <v>0.44200000000000017</v>
      </c>
      <c r="AI149" s="186">
        <f>+K149-'[2]Data FY23-24 Final'!K149</f>
        <v>0</v>
      </c>
      <c r="AJ149" s="186">
        <f>+L149-'[2]Data FY23-24 Final'!L149</f>
        <v>0</v>
      </c>
      <c r="AK149" s="186">
        <f>+M149-'[2]Data FY23-24 Final'!M149</f>
        <v>0</v>
      </c>
      <c r="AL149" s="186">
        <f>+N149-'[2]Data FY23-24 Final'!N149</f>
        <v>0</v>
      </c>
      <c r="AM149" s="186">
        <f>+O149-'[2]Data FY23-24 Final'!O149</f>
        <v>0</v>
      </c>
      <c r="AN149" s="186">
        <f>+P149-'[2]Data FY23-24 Final'!P149</f>
        <v>5.9041586284838028E-2</v>
      </c>
      <c r="AO149" s="186">
        <f>+Q149-'[2]Data FY23-24 Final'!Q149</f>
        <v>0.5010415862848383</v>
      </c>
      <c r="AP149" s="186">
        <f>+R149-'[2]Data FY23-24 Final'!R149</f>
        <v>-9.0839999999999996</v>
      </c>
      <c r="AQ149" s="186">
        <f>+S149-'[2]Data FY23-24 Final'!S149</f>
        <v>0</v>
      </c>
      <c r="AR149" s="186">
        <f>+T149-'[2]Data FY23-24 Final'!T149</f>
        <v>0</v>
      </c>
      <c r="AS149" s="186">
        <f>+U149-'[2]Data FY23-24 Final'!U149</f>
        <v>0</v>
      </c>
      <c r="AT149" s="186">
        <f>+V149-'[2]Data FY23-24 Final'!V149</f>
        <v>0</v>
      </c>
      <c r="AU149" s="186">
        <f>+W149-'[2]Data FY23-24 Final'!W149</f>
        <v>-8.5829584137151649</v>
      </c>
      <c r="AV149" s="186">
        <f>+X149-'[2]Data FY23-24 Final'!X149</f>
        <v>0</v>
      </c>
      <c r="AW149" s="161">
        <f>+Y149-'[2]Data FY23-24 Final'!Y149</f>
        <v>-92401.840000000317</v>
      </c>
      <c r="AX149" s="161">
        <f>+Z149-'[2]Data FY23-24 Final'!Z149</f>
        <v>-141086.07669400075</v>
      </c>
    </row>
    <row r="150" spans="1:50" s="154" customFormat="1" ht="13" x14ac:dyDescent="0.3">
      <c r="A150" s="187" t="s">
        <v>398</v>
      </c>
      <c r="B150" s="187" t="s">
        <v>396</v>
      </c>
      <c r="C150" s="194" t="s">
        <v>314</v>
      </c>
      <c r="D150" s="322">
        <v>43755405</v>
      </c>
      <c r="E150" s="349">
        <v>0</v>
      </c>
      <c r="F150" s="322">
        <v>43755405</v>
      </c>
      <c r="G150" s="318">
        <v>5565.38</v>
      </c>
      <c r="H150" s="348">
        <v>27</v>
      </c>
      <c r="I150" s="348">
        <v>0</v>
      </c>
      <c r="J150" s="210">
        <f t="shared" si="18"/>
        <v>27</v>
      </c>
      <c r="K150" s="185">
        <v>0</v>
      </c>
      <c r="L150" s="197">
        <v>0</v>
      </c>
      <c r="M150" s="185">
        <v>0</v>
      </c>
      <c r="N150" s="210">
        <v>0</v>
      </c>
      <c r="O150" s="316">
        <v>3.4810000000000003</v>
      </c>
      <c r="P150" s="211">
        <f t="shared" si="14"/>
        <v>0.12719297193112486</v>
      </c>
      <c r="Q150" s="317">
        <f t="shared" si="15"/>
        <v>30.608192971931125</v>
      </c>
      <c r="R150" s="196"/>
      <c r="S150" s="196"/>
      <c r="T150" s="196"/>
      <c r="U150" s="196"/>
      <c r="V150" s="196"/>
      <c r="W150" s="196">
        <f t="shared" si="16"/>
        <v>30.608192971931125</v>
      </c>
      <c r="X150" s="185">
        <v>76.787999999999997</v>
      </c>
      <c r="Y150" s="220">
        <v>3735646.09</v>
      </c>
      <c r="Z150" s="220">
        <v>2347055.3914000001</v>
      </c>
      <c r="AB150" s="161">
        <f>+D150-'[2]Data FY23-24 Final'!D150</f>
        <v>-80976</v>
      </c>
      <c r="AC150" s="161">
        <f>+E150-'[2]Data FY23-24 Final'!E150</f>
        <v>0</v>
      </c>
      <c r="AD150" s="161">
        <f>+F150-'[2]Data FY23-24 Final'!F150</f>
        <v>-80976</v>
      </c>
      <c r="AE150" s="161">
        <f>+G150-'[2]Data FY23-24 Final'!G150</f>
        <v>-857.81999999999971</v>
      </c>
      <c r="AF150" s="186">
        <f>+H150-'[2]Data FY23-24 Final'!H150</f>
        <v>0</v>
      </c>
      <c r="AG150" s="186">
        <f>+I150-'[2]Data FY23-24 Final'!I150</f>
        <v>0</v>
      </c>
      <c r="AH150" s="186">
        <f>+J150-'[2]Data FY23-24 Final'!J150</f>
        <v>0</v>
      </c>
      <c r="AI150" s="186">
        <f>+K150-'[2]Data FY23-24 Final'!K150</f>
        <v>0</v>
      </c>
      <c r="AJ150" s="186">
        <f>+L150-'[2]Data FY23-24 Final'!L150</f>
        <v>0</v>
      </c>
      <c r="AK150" s="186">
        <f>+M150-'[2]Data FY23-24 Final'!M150</f>
        <v>0</v>
      </c>
      <c r="AL150" s="186">
        <f>+N150-'[2]Data FY23-24 Final'!N150</f>
        <v>0</v>
      </c>
      <c r="AM150" s="186">
        <f>+O150-'[2]Data FY23-24 Final'!O150</f>
        <v>-1.081</v>
      </c>
      <c r="AN150" s="186">
        <f>+P150-'[2]Data FY23-24 Final'!P150</f>
        <v>-1.9807028068875132E-2</v>
      </c>
      <c r="AO150" s="186">
        <f>+Q150-'[2]Data FY23-24 Final'!Q150</f>
        <v>-1.1008070280688749</v>
      </c>
      <c r="AP150" s="186">
        <f>+R150-'[2]Data FY23-24 Final'!R150</f>
        <v>-9.1</v>
      </c>
      <c r="AQ150" s="186">
        <f>+S150-'[2]Data FY23-24 Final'!S150</f>
        <v>0</v>
      </c>
      <c r="AR150" s="186">
        <f>+T150-'[2]Data FY23-24 Final'!T150</f>
        <v>0</v>
      </c>
      <c r="AS150" s="186">
        <f>+U150-'[2]Data FY23-24 Final'!U150</f>
        <v>0</v>
      </c>
      <c r="AT150" s="186">
        <f>+V150-'[2]Data FY23-24 Final'!V150</f>
        <v>0</v>
      </c>
      <c r="AU150" s="186">
        <f>+W150-'[2]Data FY23-24 Final'!W150</f>
        <v>-10.200807028068873</v>
      </c>
      <c r="AV150" s="186">
        <f>+X150-'[2]Data FY23-24 Final'!X150</f>
        <v>0</v>
      </c>
      <c r="AW150" s="161">
        <f>+Y150-'[2]Data FY23-24 Final'!Y150</f>
        <v>-49647.350000000093</v>
      </c>
      <c r="AX150" s="161">
        <f>+Z150-'[2]Data FY23-24 Final'!Z150</f>
        <v>-128404.62159999972</v>
      </c>
    </row>
    <row r="151" spans="1:50" s="154" customFormat="1" ht="13" x14ac:dyDescent="0.3">
      <c r="A151" s="187" t="s">
        <v>399</v>
      </c>
      <c r="B151" s="187" t="s">
        <v>396</v>
      </c>
      <c r="C151" s="194" t="s">
        <v>400</v>
      </c>
      <c r="D151" s="349">
        <v>13404791</v>
      </c>
      <c r="E151" s="349">
        <v>0</v>
      </c>
      <c r="F151" s="349">
        <v>41603800</v>
      </c>
      <c r="G151" s="350">
        <v>1905.69</v>
      </c>
      <c r="H151" s="348">
        <v>27</v>
      </c>
      <c r="I151" s="348">
        <v>0</v>
      </c>
      <c r="J151" s="210">
        <f t="shared" si="18"/>
        <v>27</v>
      </c>
      <c r="K151" s="185">
        <v>0</v>
      </c>
      <c r="L151" s="197">
        <v>0</v>
      </c>
      <c r="M151" s="185">
        <v>0</v>
      </c>
      <c r="N151" s="210">
        <v>0</v>
      </c>
      <c r="O151" s="316">
        <v>0</v>
      </c>
      <c r="P151" s="211">
        <f t="shared" si="14"/>
        <v>4.5805671597306016E-2</v>
      </c>
      <c r="Q151" s="317">
        <f t="shared" si="15"/>
        <v>27.045805671597307</v>
      </c>
      <c r="R151" s="196"/>
      <c r="S151" s="196"/>
      <c r="T151" s="196"/>
      <c r="U151" s="196"/>
      <c r="V151" s="196"/>
      <c r="W151" s="196">
        <f t="shared" si="16"/>
        <v>27.045805671597307</v>
      </c>
      <c r="X151" s="185">
        <v>160.64000000000001</v>
      </c>
      <c r="Y151" s="220">
        <v>7168527.8700000001</v>
      </c>
      <c r="Z151" s="220">
        <v>5772972.6736999992</v>
      </c>
      <c r="AB151" s="161">
        <f>+D151-'[2]Data FY23-24 Final'!D151</f>
        <v>-27736050</v>
      </c>
      <c r="AC151" s="161">
        <f>+E151-'[2]Data FY23-24 Final'!E151</f>
        <v>0</v>
      </c>
      <c r="AD151" s="161">
        <f>+F151-'[2]Data FY23-24 Final'!F151</f>
        <v>462959</v>
      </c>
      <c r="AE151" s="161">
        <f>+G151-'[2]Data FY23-24 Final'!G151</f>
        <v>-2968.7099999999996</v>
      </c>
      <c r="AF151" s="186">
        <f>+H151-'[2]Data FY23-24 Final'!H151</f>
        <v>0</v>
      </c>
      <c r="AG151" s="186">
        <f>+I151-'[2]Data FY23-24 Final'!I151</f>
        <v>0</v>
      </c>
      <c r="AH151" s="186">
        <f>+J151-'[2]Data FY23-24 Final'!J151</f>
        <v>0</v>
      </c>
      <c r="AI151" s="186">
        <f>+K151-'[2]Data FY23-24 Final'!K151</f>
        <v>0</v>
      </c>
      <c r="AJ151" s="186">
        <f>+L151-'[2]Data FY23-24 Final'!L151</f>
        <v>0</v>
      </c>
      <c r="AK151" s="186">
        <f>+M151-'[2]Data FY23-24 Final'!M151</f>
        <v>0</v>
      </c>
      <c r="AL151" s="186">
        <f>+N151-'[2]Data FY23-24 Final'!N151</f>
        <v>0</v>
      </c>
      <c r="AM151" s="186">
        <f>+O151-'[2]Data FY23-24 Final'!O151</f>
        <v>0</v>
      </c>
      <c r="AN151" s="186">
        <f>+P151-'[2]Data FY23-24 Final'!P151</f>
        <v>-7.2194328402693977E-2</v>
      </c>
      <c r="AO151" s="186">
        <f>+Q151-'[2]Data FY23-24 Final'!Q151</f>
        <v>-7.2194328402691355E-2</v>
      </c>
      <c r="AP151" s="186">
        <f>+R151-'[2]Data FY23-24 Final'!R151</f>
        <v>-10.417</v>
      </c>
      <c r="AQ151" s="186">
        <f>+S151-'[2]Data FY23-24 Final'!S151</f>
        <v>0</v>
      </c>
      <c r="AR151" s="186">
        <f>+T151-'[2]Data FY23-24 Final'!T151</f>
        <v>0</v>
      </c>
      <c r="AS151" s="186">
        <f>+U151-'[2]Data FY23-24 Final'!U151</f>
        <v>0</v>
      </c>
      <c r="AT151" s="186">
        <f>+V151-'[2]Data FY23-24 Final'!V151</f>
        <v>0</v>
      </c>
      <c r="AU151" s="186">
        <f>+W151-'[2]Data FY23-24 Final'!W151</f>
        <v>-10.489194328402689</v>
      </c>
      <c r="AV151" s="186">
        <f>+X151-'[2]Data FY23-24 Final'!X151</f>
        <v>0</v>
      </c>
      <c r="AW151" s="161">
        <f>+Y151-'[2]Data FY23-24 Final'!Y151</f>
        <v>113516.11000000034</v>
      </c>
      <c r="AX151" s="161">
        <f>+Z151-'[2]Data FY23-24 Final'!Z151</f>
        <v>7268.120699999854</v>
      </c>
    </row>
    <row r="152" spans="1:50" s="154" customFormat="1" ht="13" x14ac:dyDescent="0.3">
      <c r="A152" s="187" t="s">
        <v>401</v>
      </c>
      <c r="B152" s="187" t="s">
        <v>402</v>
      </c>
      <c r="C152" s="194" t="s">
        <v>403</v>
      </c>
      <c r="D152" s="349">
        <v>73627676</v>
      </c>
      <c r="E152" s="349">
        <v>0</v>
      </c>
      <c r="F152" s="349">
        <v>73627676</v>
      </c>
      <c r="G152" s="350">
        <v>1682</v>
      </c>
      <c r="H152" s="348">
        <v>15.009</v>
      </c>
      <c r="I152" s="348">
        <v>4.4000000000000483E-2</v>
      </c>
      <c r="J152" s="210">
        <f t="shared" si="18"/>
        <v>14.965</v>
      </c>
      <c r="K152" s="185">
        <v>0</v>
      </c>
      <c r="L152" s="197">
        <v>0</v>
      </c>
      <c r="M152" s="185">
        <v>0.25999999999999995</v>
      </c>
      <c r="N152" s="210">
        <v>0</v>
      </c>
      <c r="O152" s="316">
        <v>0</v>
      </c>
      <c r="P152" s="211">
        <f t="shared" si="14"/>
        <v>2.2844670528511586E-2</v>
      </c>
      <c r="Q152" s="317">
        <f t="shared" si="15"/>
        <v>15.247844670528512</v>
      </c>
      <c r="R152" s="196"/>
      <c r="S152" s="196"/>
      <c r="T152" s="196"/>
      <c r="U152" s="196"/>
      <c r="V152" s="196"/>
      <c r="W152" s="196">
        <f t="shared" si="16"/>
        <v>15.247844670528512</v>
      </c>
      <c r="X152" s="185">
        <v>23.013999999999999</v>
      </c>
      <c r="Y152" s="220">
        <v>1793911.51</v>
      </c>
      <c r="Z152" s="220">
        <v>688773.29339500004</v>
      </c>
      <c r="AB152" s="161">
        <f>+D152-'[2]Data FY23-24 Final'!D152</f>
        <v>-510496</v>
      </c>
      <c r="AC152" s="161">
        <f>+E152-'[2]Data FY23-24 Final'!E152</f>
        <v>0</v>
      </c>
      <c r="AD152" s="161">
        <f>+F152-'[2]Data FY23-24 Final'!F152</f>
        <v>-510496</v>
      </c>
      <c r="AE152" s="161">
        <f>+G152-'[2]Data FY23-24 Final'!G152</f>
        <v>1624.94</v>
      </c>
      <c r="AF152" s="186">
        <f>+H152-'[2]Data FY23-24 Final'!H152</f>
        <v>0</v>
      </c>
      <c r="AG152" s="186">
        <f>+I152-'[2]Data FY23-24 Final'!I152</f>
        <v>-0.99999999999999956</v>
      </c>
      <c r="AH152" s="186">
        <f>+J152-'[2]Data FY23-24 Final'!J152</f>
        <v>1</v>
      </c>
      <c r="AI152" s="186">
        <f>+K152-'[2]Data FY23-24 Final'!K152</f>
        <v>0</v>
      </c>
      <c r="AJ152" s="186">
        <f>+L152-'[2]Data FY23-24 Final'!L152</f>
        <v>0</v>
      </c>
      <c r="AK152" s="186">
        <f>+M152-'[2]Data FY23-24 Final'!M152</f>
        <v>-8.0000000000000626E-3</v>
      </c>
      <c r="AL152" s="186">
        <f>+N152-'[2]Data FY23-24 Final'!N152</f>
        <v>0</v>
      </c>
      <c r="AM152" s="186">
        <f>+O152-'[2]Data FY23-24 Final'!O152</f>
        <v>0</v>
      </c>
      <c r="AN152" s="186">
        <f>+P152-'[2]Data FY23-24 Final'!P152</f>
        <v>2.1844670528511585E-2</v>
      </c>
      <c r="AO152" s="186">
        <f>+Q152-'[2]Data FY23-24 Final'!Q152</f>
        <v>1.0138446705285116</v>
      </c>
      <c r="AP152" s="186">
        <f>+R152-'[2]Data FY23-24 Final'!R152</f>
        <v>-1.25</v>
      </c>
      <c r="AQ152" s="186">
        <f>+S152-'[2]Data FY23-24 Final'!S152</f>
        <v>0</v>
      </c>
      <c r="AR152" s="186">
        <f>+T152-'[2]Data FY23-24 Final'!T152</f>
        <v>0</v>
      </c>
      <c r="AS152" s="186">
        <f>+U152-'[2]Data FY23-24 Final'!U152</f>
        <v>0</v>
      </c>
      <c r="AT152" s="186">
        <f>+V152-'[2]Data FY23-24 Final'!V152</f>
        <v>0</v>
      </c>
      <c r="AU152" s="186">
        <f>+W152-'[2]Data FY23-24 Final'!W152</f>
        <v>-0.23615532947148843</v>
      </c>
      <c r="AV152" s="186">
        <f>+X152-'[2]Data FY23-24 Final'!X152</f>
        <v>0</v>
      </c>
      <c r="AW152" s="161">
        <f>+Y152-'[2]Data FY23-24 Final'!Y152</f>
        <v>82072.979999999981</v>
      </c>
      <c r="AX152" s="161">
        <f>+Z152-'[2]Data FY23-24 Final'!Z152</f>
        <v>53244.225375000038</v>
      </c>
    </row>
    <row r="153" spans="1:50" s="154" customFormat="1" x14ac:dyDescent="0.25">
      <c r="A153" s="187" t="s">
        <v>404</v>
      </c>
      <c r="B153" s="187" t="s">
        <v>405</v>
      </c>
      <c r="C153" s="194" t="s">
        <v>406</v>
      </c>
      <c r="D153" s="220">
        <v>1234009203</v>
      </c>
      <c r="E153" s="220">
        <v>0</v>
      </c>
      <c r="F153" s="220">
        <f t="shared" si="17"/>
        <v>1234009203</v>
      </c>
      <c r="G153" s="221">
        <v>131319.85</v>
      </c>
      <c r="H153" s="348">
        <v>7.2809999999999997</v>
      </c>
      <c r="I153" s="348">
        <v>0</v>
      </c>
      <c r="J153" s="210">
        <f t="shared" si="18"/>
        <v>7.2809999999999997</v>
      </c>
      <c r="K153" s="185">
        <v>0</v>
      </c>
      <c r="L153" s="197">
        <v>0</v>
      </c>
      <c r="M153" s="185">
        <v>0</v>
      </c>
      <c r="N153" s="210">
        <v>0</v>
      </c>
      <c r="O153" s="316">
        <v>1.498</v>
      </c>
      <c r="P153" s="211">
        <f t="shared" si="14"/>
        <v>0.10641723714924353</v>
      </c>
      <c r="Q153" s="317">
        <f t="shared" si="15"/>
        <v>8.8854172371492428</v>
      </c>
      <c r="R153" s="196"/>
      <c r="S153" s="196"/>
      <c r="T153" s="196"/>
      <c r="U153" s="196"/>
      <c r="V153" s="196"/>
      <c r="W153" s="196">
        <f t="shared" si="16"/>
        <v>8.8854172371492428</v>
      </c>
      <c r="X153" s="185">
        <v>9.9</v>
      </c>
      <c r="Y153" s="220">
        <v>12550062.300000001</v>
      </c>
      <c r="Z153" s="220">
        <v>3231785.6321570002</v>
      </c>
      <c r="AB153" s="161">
        <f>+D153-'[2]Data FY23-24 Final'!D153</f>
        <v>21580270</v>
      </c>
      <c r="AC153" s="161">
        <f>+E153-'[2]Data FY23-24 Final'!E153</f>
        <v>0</v>
      </c>
      <c r="AD153" s="161">
        <f>+F153-'[2]Data FY23-24 Final'!F153</f>
        <v>21580270</v>
      </c>
      <c r="AE153" s="161">
        <f>+G153-'[2]Data FY23-24 Final'!G153</f>
        <v>0</v>
      </c>
      <c r="AF153" s="186">
        <f>+H153-'[2]Data FY23-24 Final'!H153</f>
        <v>0</v>
      </c>
      <c r="AG153" s="186">
        <f>+I153-'[2]Data FY23-24 Final'!I153</f>
        <v>0</v>
      </c>
      <c r="AH153" s="186">
        <f>+J153-'[2]Data FY23-24 Final'!J153</f>
        <v>0</v>
      </c>
      <c r="AI153" s="186">
        <f>+K153-'[2]Data FY23-24 Final'!K153</f>
        <v>0</v>
      </c>
      <c r="AJ153" s="186">
        <f>+L153-'[2]Data FY23-24 Final'!L153</f>
        <v>0</v>
      </c>
      <c r="AK153" s="186">
        <f>+M153-'[2]Data FY23-24 Final'!M153</f>
        <v>0</v>
      </c>
      <c r="AL153" s="186">
        <f>+N153-'[2]Data FY23-24 Final'!N153</f>
        <v>0</v>
      </c>
      <c r="AM153" s="186">
        <f>+O153-'[2]Data FY23-24 Final'!O153</f>
        <v>-1.4379999999999999</v>
      </c>
      <c r="AN153" s="186">
        <f>+P153-'[2]Data FY23-24 Final'!P153</f>
        <v>-1.5827628507564667E-3</v>
      </c>
      <c r="AO153" s="186">
        <f>+Q153-'[2]Data FY23-24 Final'!Q153</f>
        <v>-1.4395827628507565</v>
      </c>
      <c r="AP153" s="186">
        <f>+R153-'[2]Data FY23-24 Final'!R153</f>
        <v>-3.1840000000000002</v>
      </c>
      <c r="AQ153" s="186">
        <f>+S153-'[2]Data FY23-24 Final'!S153</f>
        <v>-0.24399999999999999</v>
      </c>
      <c r="AR153" s="186">
        <f>+T153-'[2]Data FY23-24 Final'!T153</f>
        <v>0</v>
      </c>
      <c r="AS153" s="186">
        <f>+U153-'[2]Data FY23-24 Final'!U153</f>
        <v>0</v>
      </c>
      <c r="AT153" s="186">
        <f>+V153-'[2]Data FY23-24 Final'!V153</f>
        <v>0</v>
      </c>
      <c r="AU153" s="186">
        <f>+W153-'[2]Data FY23-24 Final'!W153</f>
        <v>-4.8675827628507573</v>
      </c>
      <c r="AV153" s="186">
        <f>+X153-'[2]Data FY23-24 Final'!X153</f>
        <v>0</v>
      </c>
      <c r="AW153" s="161">
        <f>+Y153-'[2]Data FY23-24 Final'!Y153</f>
        <v>257461.93000000156</v>
      </c>
      <c r="AX153" s="161">
        <f>+Z153-'[2]Data FY23-24 Final'!Z153</f>
        <v>89103.41333000036</v>
      </c>
    </row>
    <row r="154" spans="1:50" s="154" customFormat="1" x14ac:dyDescent="0.25">
      <c r="A154" s="187" t="s">
        <v>407</v>
      </c>
      <c r="B154" s="187" t="s">
        <v>405</v>
      </c>
      <c r="C154" s="194" t="s">
        <v>408</v>
      </c>
      <c r="D154" s="220">
        <v>55751870</v>
      </c>
      <c r="E154" s="220">
        <v>0</v>
      </c>
      <c r="F154" s="220">
        <f t="shared" si="17"/>
        <v>55751870</v>
      </c>
      <c r="G154" s="221">
        <v>3736.71</v>
      </c>
      <c r="H154" s="348">
        <v>16.998999999999999</v>
      </c>
      <c r="I154" s="348">
        <v>9.0889999999999986</v>
      </c>
      <c r="J154" s="210">
        <f t="shared" si="18"/>
        <v>7.91</v>
      </c>
      <c r="K154" s="185">
        <v>0</v>
      </c>
      <c r="L154" s="197">
        <v>0</v>
      </c>
      <c r="M154" s="185">
        <v>0</v>
      </c>
      <c r="N154" s="210">
        <v>0</v>
      </c>
      <c r="O154" s="316">
        <v>7.1349999999999998</v>
      </c>
      <c r="P154" s="211">
        <f t="shared" si="14"/>
        <v>6.7023940183531069E-2</v>
      </c>
      <c r="Q154" s="317">
        <f t="shared" si="15"/>
        <v>15.112023940183532</v>
      </c>
      <c r="R154" s="196"/>
      <c r="S154" s="196"/>
      <c r="T154" s="196"/>
      <c r="U154" s="196"/>
      <c r="V154" s="196"/>
      <c r="W154" s="196">
        <f t="shared" si="16"/>
        <v>15.112023940183532</v>
      </c>
      <c r="X154" s="185">
        <v>58.062000000000005</v>
      </c>
      <c r="Y154" s="220">
        <v>3326083.08</v>
      </c>
      <c r="Z154" s="220">
        <v>2851840.0551000005</v>
      </c>
      <c r="AB154" s="161">
        <f>+D154-'[2]Data FY23-24 Final'!D154</f>
        <v>2549329</v>
      </c>
      <c r="AC154" s="161">
        <f>+E154-'[2]Data FY23-24 Final'!E154</f>
        <v>0</v>
      </c>
      <c r="AD154" s="161">
        <f>+F154-'[2]Data FY23-24 Final'!F154</f>
        <v>2549329</v>
      </c>
      <c r="AE154" s="161">
        <f>+G154-'[2]Data FY23-24 Final'!G154</f>
        <v>0</v>
      </c>
      <c r="AF154" s="186">
        <f>+H154-'[2]Data FY23-24 Final'!H154</f>
        <v>0</v>
      </c>
      <c r="AG154" s="186">
        <f>+I154-'[2]Data FY23-24 Final'!I154</f>
        <v>-1.0000000000000018</v>
      </c>
      <c r="AH154" s="186">
        <f>+J154-'[2]Data FY23-24 Final'!J154</f>
        <v>1</v>
      </c>
      <c r="AI154" s="186">
        <f>+K154-'[2]Data FY23-24 Final'!K154</f>
        <v>0</v>
      </c>
      <c r="AJ154" s="186">
        <f>+L154-'[2]Data FY23-24 Final'!L154</f>
        <v>0</v>
      </c>
      <c r="AK154" s="186">
        <f>+M154-'[2]Data FY23-24 Final'!M154</f>
        <v>0</v>
      </c>
      <c r="AL154" s="186">
        <f>+N154-'[2]Data FY23-24 Final'!N154</f>
        <v>0</v>
      </c>
      <c r="AM154" s="186">
        <f>+O154-'[2]Data FY23-24 Final'!O154</f>
        <v>-0.9399999999999995</v>
      </c>
      <c r="AN154" s="186">
        <f>+P154-'[2]Data FY23-24 Final'!P154</f>
        <v>-2.9760598164689372E-3</v>
      </c>
      <c r="AO154" s="186">
        <f>+Q154-'[2]Data FY23-24 Final'!Q154</f>
        <v>5.7023940183531963E-2</v>
      </c>
      <c r="AP154" s="186">
        <f>+R154-'[2]Data FY23-24 Final'!R154</f>
        <v>0</v>
      </c>
      <c r="AQ154" s="186">
        <f>+S154-'[2]Data FY23-24 Final'!S154</f>
        <v>0</v>
      </c>
      <c r="AR154" s="186">
        <f>+T154-'[2]Data FY23-24 Final'!T154</f>
        <v>0</v>
      </c>
      <c r="AS154" s="186">
        <f>+U154-'[2]Data FY23-24 Final'!U154</f>
        <v>0</v>
      </c>
      <c r="AT154" s="186">
        <f>+V154-'[2]Data FY23-24 Final'!V154</f>
        <v>0</v>
      </c>
      <c r="AU154" s="186">
        <f>+W154-'[2]Data FY23-24 Final'!W154</f>
        <v>5.7023940183531963E-2</v>
      </c>
      <c r="AV154" s="186">
        <f>+X154-'[2]Data FY23-24 Final'!X154</f>
        <v>0</v>
      </c>
      <c r="AW154" s="161">
        <f>+Y154-'[2]Data FY23-24 Final'!Y154</f>
        <v>17078.660000000149</v>
      </c>
      <c r="AX154" s="161">
        <f>+Z154-'[2]Data FY23-24 Final'!Z154</f>
        <v>-70882.326589999255</v>
      </c>
    </row>
    <row r="155" spans="1:50" s="154" customFormat="1" x14ac:dyDescent="0.25">
      <c r="A155" s="187" t="s">
        <v>409</v>
      </c>
      <c r="B155" s="187" t="s">
        <v>410</v>
      </c>
      <c r="C155" s="194" t="s">
        <v>411</v>
      </c>
      <c r="D155" s="220">
        <v>31811563</v>
      </c>
      <c r="E155" s="220">
        <v>0</v>
      </c>
      <c r="F155" s="220">
        <f t="shared" si="17"/>
        <v>31811563</v>
      </c>
      <c r="G155" s="221">
        <v>29118.58</v>
      </c>
      <c r="H155" s="348">
        <v>27</v>
      </c>
      <c r="I155" s="348">
        <v>0</v>
      </c>
      <c r="J155" s="210">
        <f t="shared" si="18"/>
        <v>27</v>
      </c>
      <c r="K155" s="185">
        <v>0</v>
      </c>
      <c r="L155" s="197">
        <v>0</v>
      </c>
      <c r="M155" s="185">
        <v>0</v>
      </c>
      <c r="N155" s="210">
        <v>0</v>
      </c>
      <c r="O155" s="316">
        <v>0</v>
      </c>
      <c r="P155" s="211">
        <f t="shared" si="14"/>
        <v>0.9153457816580719</v>
      </c>
      <c r="Q155" s="317">
        <f t="shared" si="15"/>
        <v>27.915345781658072</v>
      </c>
      <c r="R155" s="196"/>
      <c r="S155" s="196"/>
      <c r="T155" s="196"/>
      <c r="U155" s="196"/>
      <c r="V155" s="196"/>
      <c r="W155" s="196">
        <f t="shared" si="16"/>
        <v>27.915345781658072</v>
      </c>
      <c r="X155" s="185">
        <v>191.75200000000001</v>
      </c>
      <c r="Y155" s="220">
        <v>6188442.71</v>
      </c>
      <c r="Z155" s="220">
        <v>5241029.0877</v>
      </c>
      <c r="AB155" s="161">
        <f>+D155-'[2]Data FY23-24 Final'!D155</f>
        <v>1731140</v>
      </c>
      <c r="AC155" s="161">
        <f>+E155-'[2]Data FY23-24 Final'!E155</f>
        <v>0</v>
      </c>
      <c r="AD155" s="161">
        <f>+F155-'[2]Data FY23-24 Final'!F155</f>
        <v>1731140</v>
      </c>
      <c r="AE155" s="161">
        <f>+G155-'[2]Data FY23-24 Final'!G155</f>
        <v>0.58000000000174623</v>
      </c>
      <c r="AF155" s="186">
        <f>+H155-'[2]Data FY23-24 Final'!H155</f>
        <v>0</v>
      </c>
      <c r="AG155" s="186">
        <f>+I155-'[2]Data FY23-24 Final'!I155</f>
        <v>0</v>
      </c>
      <c r="AH155" s="186">
        <f>+J155-'[2]Data FY23-24 Final'!J155</f>
        <v>0</v>
      </c>
      <c r="AI155" s="186">
        <f>+K155-'[2]Data FY23-24 Final'!K155</f>
        <v>0</v>
      </c>
      <c r="AJ155" s="186">
        <f>+L155-'[2]Data FY23-24 Final'!L155</f>
        <v>0</v>
      </c>
      <c r="AK155" s="186">
        <f>+M155-'[2]Data FY23-24 Final'!M155</f>
        <v>0</v>
      </c>
      <c r="AL155" s="186">
        <f>+N155-'[2]Data FY23-24 Final'!N155</f>
        <v>0</v>
      </c>
      <c r="AM155" s="186">
        <f>+O155-'[2]Data FY23-24 Final'!O155</f>
        <v>0</v>
      </c>
      <c r="AN155" s="186">
        <f>+P155-'[2]Data FY23-24 Final'!P155</f>
        <v>-5.2654218341928072E-2</v>
      </c>
      <c r="AO155" s="186">
        <f>+Q155-'[2]Data FY23-24 Final'!Q155</f>
        <v>-5.2654218341928072E-2</v>
      </c>
      <c r="AP155" s="186">
        <f>+R155-'[2]Data FY23-24 Final'!R155</f>
        <v>-13.63</v>
      </c>
      <c r="AQ155" s="186">
        <f>+S155-'[2]Data FY23-24 Final'!S155</f>
        <v>0</v>
      </c>
      <c r="AR155" s="186">
        <f>+T155-'[2]Data FY23-24 Final'!T155</f>
        <v>0</v>
      </c>
      <c r="AS155" s="186">
        <f>+U155-'[2]Data FY23-24 Final'!U155</f>
        <v>0</v>
      </c>
      <c r="AT155" s="186">
        <f>+V155-'[2]Data FY23-24 Final'!V155</f>
        <v>0</v>
      </c>
      <c r="AU155" s="186">
        <f>+W155-'[2]Data FY23-24 Final'!W155</f>
        <v>-13.682654218341927</v>
      </c>
      <c r="AV155" s="186">
        <f>+X155-'[2]Data FY23-24 Final'!X155</f>
        <v>0</v>
      </c>
      <c r="AW155" s="161">
        <f>+Y155-'[2]Data FY23-24 Final'!Y155</f>
        <v>-2015508.6500000004</v>
      </c>
      <c r="AX155" s="161">
        <f>+Z155-'[2]Data FY23-24 Final'!Z155</f>
        <v>-2050661.4512999998</v>
      </c>
    </row>
    <row r="156" spans="1:50" s="154" customFormat="1" x14ac:dyDescent="0.25">
      <c r="A156" s="187" t="s">
        <v>412</v>
      </c>
      <c r="B156" s="187" t="s">
        <v>410</v>
      </c>
      <c r="C156" s="194" t="s">
        <v>413</v>
      </c>
      <c r="D156" s="220">
        <v>28242299</v>
      </c>
      <c r="E156" s="220">
        <v>0</v>
      </c>
      <c r="F156" s="220">
        <f t="shared" si="17"/>
        <v>28242299</v>
      </c>
      <c r="G156" s="221">
        <v>8679.44</v>
      </c>
      <c r="H156" s="348">
        <v>27</v>
      </c>
      <c r="I156" s="348">
        <v>5.7999999999999829E-2</v>
      </c>
      <c r="J156" s="210">
        <f t="shared" si="18"/>
        <v>26.942</v>
      </c>
      <c r="K156" s="185">
        <v>0</v>
      </c>
      <c r="L156" s="197">
        <v>0</v>
      </c>
      <c r="M156" s="185">
        <v>2.6280000000000001</v>
      </c>
      <c r="N156" s="210">
        <v>0</v>
      </c>
      <c r="O156" s="316">
        <v>0</v>
      </c>
      <c r="P156" s="211">
        <f t="shared" si="14"/>
        <v>0.30732059029613701</v>
      </c>
      <c r="Q156" s="317">
        <f t="shared" si="15"/>
        <v>29.877320590296137</v>
      </c>
      <c r="R156" s="196"/>
      <c r="S156" s="196"/>
      <c r="T156" s="196"/>
      <c r="U156" s="196"/>
      <c r="V156" s="196"/>
      <c r="W156" s="196">
        <f t="shared" si="16"/>
        <v>29.877320590296137</v>
      </c>
      <c r="X156" s="185">
        <v>84.903999999999996</v>
      </c>
      <c r="Y156" s="220">
        <v>2476511.9900000002</v>
      </c>
      <c r="Z156" s="220">
        <v>1665228.3814420002</v>
      </c>
      <c r="AB156" s="161">
        <f>+D156-'[2]Data FY23-24 Final'!D156</f>
        <v>847750</v>
      </c>
      <c r="AC156" s="161">
        <f>+E156-'[2]Data FY23-24 Final'!E156</f>
        <v>0</v>
      </c>
      <c r="AD156" s="161">
        <f>+F156-'[2]Data FY23-24 Final'!F156</f>
        <v>847750</v>
      </c>
      <c r="AE156" s="161">
        <f>+G156-'[2]Data FY23-24 Final'!G156</f>
        <v>-4.5599999999994907</v>
      </c>
      <c r="AF156" s="186">
        <f>+H156-'[2]Data FY23-24 Final'!H156</f>
        <v>0</v>
      </c>
      <c r="AG156" s="186">
        <f>+I156-'[2]Data FY23-24 Final'!I156</f>
        <v>-1.0000000000000002</v>
      </c>
      <c r="AH156" s="186">
        <f>+J156-'[2]Data FY23-24 Final'!J156</f>
        <v>1</v>
      </c>
      <c r="AI156" s="186">
        <f>+K156-'[2]Data FY23-24 Final'!K156</f>
        <v>0</v>
      </c>
      <c r="AJ156" s="186">
        <f>+L156-'[2]Data FY23-24 Final'!L156</f>
        <v>0</v>
      </c>
      <c r="AK156" s="186">
        <f>+M156-'[2]Data FY23-24 Final'!M156</f>
        <v>-8.1999999999999851E-2</v>
      </c>
      <c r="AL156" s="186">
        <f>+N156-'[2]Data FY23-24 Final'!N156</f>
        <v>0</v>
      </c>
      <c r="AM156" s="186">
        <f>+O156-'[2]Data FY23-24 Final'!O156</f>
        <v>0</v>
      </c>
      <c r="AN156" s="186">
        <f>+P156-'[2]Data FY23-24 Final'!P156</f>
        <v>-9.6794097038629956E-3</v>
      </c>
      <c r="AO156" s="186">
        <f>+Q156-'[2]Data FY23-24 Final'!Q156</f>
        <v>0.90832059029613532</v>
      </c>
      <c r="AP156" s="186">
        <f>+R156-'[2]Data FY23-24 Final'!R156</f>
        <v>-13</v>
      </c>
      <c r="AQ156" s="186">
        <f>+S156-'[2]Data FY23-24 Final'!S156</f>
        <v>0</v>
      </c>
      <c r="AR156" s="186">
        <f>+T156-'[2]Data FY23-24 Final'!T156</f>
        <v>0</v>
      </c>
      <c r="AS156" s="186">
        <f>+U156-'[2]Data FY23-24 Final'!U156</f>
        <v>0</v>
      </c>
      <c r="AT156" s="186">
        <f>+V156-'[2]Data FY23-24 Final'!V156</f>
        <v>0</v>
      </c>
      <c r="AU156" s="186">
        <f>+W156-'[2]Data FY23-24 Final'!W156</f>
        <v>-12.091679409703865</v>
      </c>
      <c r="AV156" s="186">
        <f>+X156-'[2]Data FY23-24 Final'!X156</f>
        <v>0</v>
      </c>
      <c r="AW156" s="161">
        <f>+Y156-'[2]Data FY23-24 Final'!Y156</f>
        <v>-45368.729999999981</v>
      </c>
      <c r="AX156" s="161">
        <f>+Z156-'[2]Data FY23-24 Final'!Z156</f>
        <v>-59028.148400000064</v>
      </c>
    </row>
    <row r="157" spans="1:50" s="154" customFormat="1" x14ac:dyDescent="0.25">
      <c r="A157" s="187" t="s">
        <v>414</v>
      </c>
      <c r="B157" s="187" t="s">
        <v>415</v>
      </c>
      <c r="C157" s="194" t="s">
        <v>415</v>
      </c>
      <c r="D157" s="220">
        <v>3637206920</v>
      </c>
      <c r="E157" s="220">
        <v>63437270</v>
      </c>
      <c r="F157" s="220">
        <f t="shared" si="17"/>
        <v>3573769650</v>
      </c>
      <c r="G157" s="221">
        <v>43584.82</v>
      </c>
      <c r="H157" s="348">
        <v>10.666</v>
      </c>
      <c r="I157" s="348">
        <v>0</v>
      </c>
      <c r="J157" s="352">
        <f>+H157-I157-K157-L157</f>
        <v>10.648</v>
      </c>
      <c r="K157" s="353">
        <v>1.8000000000000002E-2</v>
      </c>
      <c r="L157" s="354">
        <v>6.5390943528031986E-16</v>
      </c>
      <c r="M157" s="185">
        <v>0.41300000000000003</v>
      </c>
      <c r="N157" s="210">
        <v>0</v>
      </c>
      <c r="O157" s="316">
        <v>1.3120000000000001</v>
      </c>
      <c r="P157" s="211">
        <f t="shared" si="14"/>
        <v>1.2195755258036848E-2</v>
      </c>
      <c r="Q157" s="317">
        <f t="shared" si="15"/>
        <v>12.403195755258038</v>
      </c>
      <c r="R157" s="196"/>
      <c r="S157" s="196"/>
      <c r="T157" s="196"/>
      <c r="U157" s="196"/>
      <c r="V157" s="196"/>
      <c r="W157" s="196">
        <f t="shared" si="16"/>
        <v>12.403195755258038</v>
      </c>
      <c r="X157" s="185">
        <v>10.648</v>
      </c>
      <c r="Y157" s="220">
        <v>39565980.210000001</v>
      </c>
      <c r="Z157" s="220">
        <v>1208.3783000020776</v>
      </c>
      <c r="AB157" s="161">
        <f>+D157-'[2]Data FY23-24 Final'!D157</f>
        <v>194066660</v>
      </c>
      <c r="AC157" s="161">
        <f>+E157-'[2]Data FY23-24 Final'!E157</f>
        <v>1486610</v>
      </c>
      <c r="AD157" s="161">
        <f>+F157-'[2]Data FY23-24 Final'!F157</f>
        <v>192580050</v>
      </c>
      <c r="AE157" s="161">
        <f>+G157-'[2]Data FY23-24 Final'!G157</f>
        <v>-0.18000000000029104</v>
      </c>
      <c r="AF157" s="186">
        <f>+H157-'[2]Data FY23-24 Final'!H157</f>
        <v>0</v>
      </c>
      <c r="AG157" s="186">
        <f>+I157-'[2]Data FY23-24 Final'!I157</f>
        <v>0</v>
      </c>
      <c r="AH157" s="186">
        <f>+J157-'[2]Data FY23-24 Final'!J157</f>
        <v>-1.8000000000000682E-2</v>
      </c>
      <c r="AI157" s="186">
        <f>+K157-'[2]Data FY23-24 Final'!K157</f>
        <v>1.8000000000000002E-2</v>
      </c>
      <c r="AJ157" s="186">
        <f>+L157-'[2]Data FY23-24 Final'!L157</f>
        <v>6.5390943528031986E-16</v>
      </c>
      <c r="AK157" s="186">
        <f>+M157-'[2]Data FY23-24 Final'!M157</f>
        <v>-2.2999999999999965E-2</v>
      </c>
      <c r="AL157" s="186">
        <f>+N157-'[2]Data FY23-24 Final'!N157</f>
        <v>0</v>
      </c>
      <c r="AM157" s="186">
        <f>+O157-'[2]Data FY23-24 Final'!O157</f>
        <v>-0.502</v>
      </c>
      <c r="AN157" s="186">
        <f>+P157-'[2]Data FY23-24 Final'!P157</f>
        <v>-8.0424474196315147E-4</v>
      </c>
      <c r="AO157" s="186">
        <f>+Q157-'[2]Data FY23-24 Final'!Q157</f>
        <v>-0.52580424474196263</v>
      </c>
      <c r="AP157" s="186">
        <f>+R157-'[2]Data FY23-24 Final'!R157</f>
        <v>-2.7149999999999999</v>
      </c>
      <c r="AQ157" s="186">
        <f>+S157-'[2]Data FY23-24 Final'!S157</f>
        <v>-0.26</v>
      </c>
      <c r="AR157" s="186">
        <f>+T157-'[2]Data FY23-24 Final'!T157</f>
        <v>0</v>
      </c>
      <c r="AS157" s="186">
        <f>+U157-'[2]Data FY23-24 Final'!U157</f>
        <v>-1</v>
      </c>
      <c r="AT157" s="186">
        <f>+V157-'[2]Data FY23-24 Final'!V157</f>
        <v>0</v>
      </c>
      <c r="AU157" s="186">
        <f>+W157-'[2]Data FY23-24 Final'!W157</f>
        <v>-4.5008042447419623</v>
      </c>
      <c r="AV157" s="186">
        <f>+X157-'[2]Data FY23-24 Final'!X157</f>
        <v>0</v>
      </c>
      <c r="AW157" s="161">
        <f>+Y157-'[2]Data FY23-24 Final'!Y157</f>
        <v>615696.14999999851</v>
      </c>
      <c r="AX157" s="161">
        <f>+Z157-'[2]Data FY23-24 Final'!Z157</f>
        <v>-1407331.5181000032</v>
      </c>
    </row>
    <row r="158" spans="1:50" s="154" customFormat="1" x14ac:dyDescent="0.25">
      <c r="A158" s="187" t="s">
        <v>416</v>
      </c>
      <c r="B158" s="187" t="s">
        <v>417</v>
      </c>
      <c r="C158" s="194" t="s">
        <v>418</v>
      </c>
      <c r="D158" s="220">
        <v>440102250</v>
      </c>
      <c r="E158" s="220">
        <v>0</v>
      </c>
      <c r="F158" s="220">
        <f t="shared" si="17"/>
        <v>440102250</v>
      </c>
      <c r="G158" s="221">
        <v>5998.88</v>
      </c>
      <c r="H158" s="348">
        <v>9.6240000000000006</v>
      </c>
      <c r="I158" s="348">
        <v>0</v>
      </c>
      <c r="J158" s="352">
        <f>+H158-I158-K158-L158</f>
        <v>9.2580000000000009</v>
      </c>
      <c r="K158" s="353">
        <v>0.36599999999999999</v>
      </c>
      <c r="L158" s="354">
        <v>0</v>
      </c>
      <c r="M158" s="185">
        <v>0</v>
      </c>
      <c r="N158" s="210">
        <v>0</v>
      </c>
      <c r="O158" s="316">
        <v>1.327</v>
      </c>
      <c r="P158" s="211">
        <f t="shared" si="14"/>
        <v>1.3630650604490207E-2</v>
      </c>
      <c r="Q158" s="317">
        <f t="shared" si="15"/>
        <v>10.964630650604491</v>
      </c>
      <c r="R158" s="196"/>
      <c r="S158" s="196"/>
      <c r="T158" s="196"/>
      <c r="U158" s="196"/>
      <c r="V158" s="196"/>
      <c r="W158" s="196">
        <f t="shared" si="16"/>
        <v>10.964630650604491</v>
      </c>
      <c r="X158" s="185">
        <v>9.2580000000000009</v>
      </c>
      <c r="Y158" s="220">
        <v>4481534.7699999996</v>
      </c>
      <c r="Z158" s="220">
        <v>199.08449999912409</v>
      </c>
      <c r="AB158" s="161">
        <f>+D158-'[2]Data FY23-24 Final'!D158</f>
        <v>9265390</v>
      </c>
      <c r="AC158" s="161">
        <f>+E158-'[2]Data FY23-24 Final'!E158</f>
        <v>0</v>
      </c>
      <c r="AD158" s="161">
        <f>+F158-'[2]Data FY23-24 Final'!F158</f>
        <v>9265390</v>
      </c>
      <c r="AE158" s="161">
        <f>+G158-'[2]Data FY23-24 Final'!G158</f>
        <v>1690.88</v>
      </c>
      <c r="AF158" s="186">
        <f>+H158-'[2]Data FY23-24 Final'!H158</f>
        <v>0</v>
      </c>
      <c r="AG158" s="186">
        <f>+I158-'[2]Data FY23-24 Final'!I158</f>
        <v>0</v>
      </c>
      <c r="AH158" s="186">
        <f>+J158-'[2]Data FY23-24 Final'!J158</f>
        <v>0</v>
      </c>
      <c r="AI158" s="186">
        <f>+K158-'[2]Data FY23-24 Final'!K158</f>
        <v>0</v>
      </c>
      <c r="AJ158" s="186">
        <f>+L158-'[2]Data FY23-24 Final'!L158</f>
        <v>0</v>
      </c>
      <c r="AK158" s="186">
        <f>+M158-'[2]Data FY23-24 Final'!M158</f>
        <v>0</v>
      </c>
      <c r="AL158" s="186">
        <f>+N158-'[2]Data FY23-24 Final'!N158</f>
        <v>0</v>
      </c>
      <c r="AM158" s="186">
        <f>+O158-'[2]Data FY23-24 Final'!O158</f>
        <v>0</v>
      </c>
      <c r="AN158" s="186">
        <f>+P158-'[2]Data FY23-24 Final'!P158</f>
        <v>3.630650604490207E-3</v>
      </c>
      <c r="AO158" s="186">
        <f>+Q158-'[2]Data FY23-24 Final'!Q158</f>
        <v>3.6306506044905262E-3</v>
      </c>
      <c r="AP158" s="186">
        <f>+R158-'[2]Data FY23-24 Final'!R158</f>
        <v>-2.3250000000000002</v>
      </c>
      <c r="AQ158" s="186">
        <f>+S158-'[2]Data FY23-24 Final'!S158</f>
        <v>0</v>
      </c>
      <c r="AR158" s="186">
        <f>+T158-'[2]Data FY23-24 Final'!T158</f>
        <v>0</v>
      </c>
      <c r="AS158" s="186">
        <f>+U158-'[2]Data FY23-24 Final'!U158</f>
        <v>0</v>
      </c>
      <c r="AT158" s="186">
        <f>+V158-'[2]Data FY23-24 Final'!V158</f>
        <v>0</v>
      </c>
      <c r="AU158" s="186">
        <f>+W158-'[2]Data FY23-24 Final'!W158</f>
        <v>-2.3213693493955088</v>
      </c>
      <c r="AV158" s="186">
        <f>+X158-'[2]Data FY23-24 Final'!X158</f>
        <v>0</v>
      </c>
      <c r="AW158" s="161">
        <f>+Y158-'[2]Data FY23-24 Final'!Y158</f>
        <v>12712.189999999478</v>
      </c>
      <c r="AX158" s="161">
        <f>+Z158-'[2]Data FY23-24 Final'!Z158</f>
        <v>199.0811999985599</v>
      </c>
    </row>
    <row r="159" spans="1:50" s="154" customFormat="1" x14ac:dyDescent="0.25">
      <c r="A159" s="187" t="s">
        <v>419</v>
      </c>
      <c r="B159" s="187" t="s">
        <v>417</v>
      </c>
      <c r="C159" s="194" t="s">
        <v>420</v>
      </c>
      <c r="D159" s="220">
        <v>453844790</v>
      </c>
      <c r="E159" s="220">
        <v>12779703</v>
      </c>
      <c r="F159" s="220">
        <f t="shared" si="17"/>
        <v>441065087</v>
      </c>
      <c r="G159" s="221">
        <v>243414.08</v>
      </c>
      <c r="H159" s="348">
        <v>27</v>
      </c>
      <c r="I159" s="348">
        <v>0.44999999999999929</v>
      </c>
      <c r="J159" s="210">
        <f t="shared" ref="J159:J165" si="19">+H159-I159</f>
        <v>26.55</v>
      </c>
      <c r="K159" s="185">
        <v>0</v>
      </c>
      <c r="L159" s="197">
        <v>0</v>
      </c>
      <c r="M159" s="185">
        <v>0</v>
      </c>
      <c r="N159" s="210">
        <v>0</v>
      </c>
      <c r="O159" s="316">
        <v>2.4940000000000002</v>
      </c>
      <c r="P159" s="211">
        <f t="shared" si="14"/>
        <v>0.55187791365585903</v>
      </c>
      <c r="Q159" s="317">
        <f t="shared" si="15"/>
        <v>29.595877913655858</v>
      </c>
      <c r="R159" s="196"/>
      <c r="S159" s="196"/>
      <c r="T159" s="196"/>
      <c r="U159" s="196"/>
      <c r="V159" s="196"/>
      <c r="W159" s="196">
        <f t="shared" si="16"/>
        <v>29.595877913655858</v>
      </c>
      <c r="X159" s="185">
        <v>47.796999999999997</v>
      </c>
      <c r="Y159" s="220">
        <v>21931255.920000002</v>
      </c>
      <c r="Z159" s="220">
        <v>9812261.2334500011</v>
      </c>
      <c r="AB159" s="161">
        <f>+D159-'[2]Data FY23-24 Final'!D159</f>
        <v>28492910</v>
      </c>
      <c r="AC159" s="161">
        <f>+E159-'[2]Data FY23-24 Final'!E159</f>
        <v>83989</v>
      </c>
      <c r="AD159" s="161">
        <f>+F159-'[2]Data FY23-24 Final'!F159</f>
        <v>28408921</v>
      </c>
      <c r="AE159" s="161">
        <f>+G159-'[2]Data FY23-24 Final'!G159</f>
        <v>235359.08</v>
      </c>
      <c r="AF159" s="186">
        <f>+H159-'[2]Data FY23-24 Final'!H159</f>
        <v>0</v>
      </c>
      <c r="AG159" s="186">
        <f>+I159-'[2]Data FY23-24 Final'!I159</f>
        <v>-1.0000000000000007</v>
      </c>
      <c r="AH159" s="186">
        <f>+J159-'[2]Data FY23-24 Final'!J159</f>
        <v>1</v>
      </c>
      <c r="AI159" s="186">
        <f>+K159-'[2]Data FY23-24 Final'!K159</f>
        <v>0</v>
      </c>
      <c r="AJ159" s="186">
        <f>+L159-'[2]Data FY23-24 Final'!L159</f>
        <v>0</v>
      </c>
      <c r="AK159" s="186">
        <f>+M159-'[2]Data FY23-24 Final'!M159</f>
        <v>0</v>
      </c>
      <c r="AL159" s="186">
        <f>+N159-'[2]Data FY23-24 Final'!N159</f>
        <v>0</v>
      </c>
      <c r="AM159" s="186">
        <f>+O159-'[2]Data FY23-24 Final'!O159</f>
        <v>-0.17199999999999971</v>
      </c>
      <c r="AN159" s="186">
        <f>+P159-'[2]Data FY23-24 Final'!P159</f>
        <v>0.53187791365585901</v>
      </c>
      <c r="AO159" s="186">
        <f>+Q159-'[2]Data FY23-24 Final'!Q159</f>
        <v>1.3598779136558576</v>
      </c>
      <c r="AP159" s="186">
        <f>+R159-'[2]Data FY23-24 Final'!R159</f>
        <v>0</v>
      </c>
      <c r="AQ159" s="186">
        <f>+S159-'[2]Data FY23-24 Final'!S159</f>
        <v>0</v>
      </c>
      <c r="AR159" s="186">
        <f>+T159-'[2]Data FY23-24 Final'!T159</f>
        <v>0</v>
      </c>
      <c r="AS159" s="186">
        <f>+U159-'[2]Data FY23-24 Final'!U159</f>
        <v>0</v>
      </c>
      <c r="AT159" s="186">
        <f>+V159-'[2]Data FY23-24 Final'!V159</f>
        <v>0</v>
      </c>
      <c r="AU159" s="186">
        <f>+W159-'[2]Data FY23-24 Final'!W159</f>
        <v>1.3598779136558576</v>
      </c>
      <c r="AV159" s="186">
        <f>+X159-'[2]Data FY23-24 Final'!X159</f>
        <v>0</v>
      </c>
      <c r="AW159" s="161">
        <f>+Y159-'[2]Data FY23-24 Final'!Y159</f>
        <v>282734.12000000104</v>
      </c>
      <c r="AX159" s="161">
        <f>+Z159-'[2]Data FY23-24 Final'!Z159</f>
        <v>-419471.07524999976</v>
      </c>
    </row>
    <row r="160" spans="1:50" s="154" customFormat="1" x14ac:dyDescent="0.25">
      <c r="A160" s="187" t="s">
        <v>421</v>
      </c>
      <c r="B160" s="187" t="s">
        <v>422</v>
      </c>
      <c r="C160" s="194" t="s">
        <v>423</v>
      </c>
      <c r="D160" s="220">
        <v>52162130</v>
      </c>
      <c r="E160" s="220">
        <v>0</v>
      </c>
      <c r="F160" s="220">
        <f t="shared" si="17"/>
        <v>52162130</v>
      </c>
      <c r="G160" s="221">
        <v>7334.23</v>
      </c>
      <c r="H160" s="348">
        <v>27</v>
      </c>
      <c r="I160" s="348">
        <v>0</v>
      </c>
      <c r="J160" s="210">
        <f t="shared" si="19"/>
        <v>27</v>
      </c>
      <c r="K160" s="185">
        <v>0</v>
      </c>
      <c r="L160" s="197">
        <v>0</v>
      </c>
      <c r="M160" s="185">
        <v>0</v>
      </c>
      <c r="N160" s="210">
        <v>0</v>
      </c>
      <c r="O160" s="316">
        <v>0</v>
      </c>
      <c r="P160" s="211">
        <f t="shared" si="14"/>
        <v>0.14060449602038871</v>
      </c>
      <c r="Q160" s="317">
        <f t="shared" si="15"/>
        <v>27.140604496020387</v>
      </c>
      <c r="R160" s="196"/>
      <c r="S160" s="196"/>
      <c r="T160" s="196"/>
      <c r="U160" s="196"/>
      <c r="V160" s="196"/>
      <c r="W160" s="196">
        <f t="shared" si="16"/>
        <v>27.140604496020387</v>
      </c>
      <c r="X160" s="185">
        <v>99.548999999999992</v>
      </c>
      <c r="Y160" s="220">
        <v>5325246.78</v>
      </c>
      <c r="Z160" s="220">
        <v>3784333.1239000005</v>
      </c>
      <c r="AB160" s="161">
        <f>+D160-'[2]Data FY23-24 Final'!D160</f>
        <v>2689941</v>
      </c>
      <c r="AC160" s="161">
        <f>+E160-'[2]Data FY23-24 Final'!E160</f>
        <v>0</v>
      </c>
      <c r="AD160" s="161">
        <f>+F160-'[2]Data FY23-24 Final'!F160</f>
        <v>2689941</v>
      </c>
      <c r="AE160" s="161">
        <f>+G160-'[2]Data FY23-24 Final'!G160</f>
        <v>0</v>
      </c>
      <c r="AF160" s="186">
        <f>+H160-'[2]Data FY23-24 Final'!H160</f>
        <v>0</v>
      </c>
      <c r="AG160" s="186">
        <f>+I160-'[2]Data FY23-24 Final'!I160</f>
        <v>0</v>
      </c>
      <c r="AH160" s="186">
        <f>+J160-'[2]Data FY23-24 Final'!J160</f>
        <v>0</v>
      </c>
      <c r="AI160" s="186">
        <f>+K160-'[2]Data FY23-24 Final'!K160</f>
        <v>0</v>
      </c>
      <c r="AJ160" s="186">
        <f>+L160-'[2]Data FY23-24 Final'!L160</f>
        <v>0</v>
      </c>
      <c r="AK160" s="186">
        <f>+M160-'[2]Data FY23-24 Final'!M160</f>
        <v>0</v>
      </c>
      <c r="AL160" s="186">
        <f>+N160-'[2]Data FY23-24 Final'!N160</f>
        <v>0</v>
      </c>
      <c r="AM160" s="186">
        <f>+O160-'[2]Data FY23-24 Final'!O160</f>
        <v>0</v>
      </c>
      <c r="AN160" s="186">
        <f>+P160-'[2]Data FY23-24 Final'!P160</f>
        <v>-3.9550397961127248E-4</v>
      </c>
      <c r="AO160" s="186">
        <f>+Q160-'[2]Data FY23-24 Final'!Q160</f>
        <v>-3.9550397961107819E-4</v>
      </c>
      <c r="AP160" s="186">
        <f>+R160-'[2]Data FY23-24 Final'!R160</f>
        <v>-9.86</v>
      </c>
      <c r="AQ160" s="186">
        <f>+S160-'[2]Data FY23-24 Final'!S160</f>
        <v>0</v>
      </c>
      <c r="AR160" s="186">
        <f>+T160-'[2]Data FY23-24 Final'!T160</f>
        <v>0</v>
      </c>
      <c r="AS160" s="186">
        <f>+U160-'[2]Data FY23-24 Final'!U160</f>
        <v>0</v>
      </c>
      <c r="AT160" s="186">
        <f>+V160-'[2]Data FY23-24 Final'!V160</f>
        <v>0</v>
      </c>
      <c r="AU160" s="186">
        <f>+W160-'[2]Data FY23-24 Final'!W160</f>
        <v>-9.8603955039796105</v>
      </c>
      <c r="AV160" s="186">
        <f>+X160-'[2]Data FY23-24 Final'!X160</f>
        <v>0</v>
      </c>
      <c r="AW160" s="161">
        <f>+Y160-'[2]Data FY23-24 Final'!Y160</f>
        <v>184101.12999999989</v>
      </c>
      <c r="AX160" s="161">
        <f>+Z160-'[2]Data FY23-24 Final'!Z160</f>
        <v>127594.85690000001</v>
      </c>
    </row>
    <row r="161" spans="1:50" s="154" customFormat="1" x14ac:dyDescent="0.25">
      <c r="A161" s="187" t="s">
        <v>424</v>
      </c>
      <c r="B161" s="187" t="s">
        <v>422</v>
      </c>
      <c r="C161" s="194" t="s">
        <v>425</v>
      </c>
      <c r="D161" s="220">
        <v>33601686</v>
      </c>
      <c r="E161" s="220">
        <v>0</v>
      </c>
      <c r="F161" s="220">
        <f t="shared" si="17"/>
        <v>33601686</v>
      </c>
      <c r="G161" s="221">
        <v>4538.72</v>
      </c>
      <c r="H161" s="348">
        <v>27</v>
      </c>
      <c r="I161" s="348">
        <v>8.8189999999999991</v>
      </c>
      <c r="J161" s="210">
        <f t="shared" si="19"/>
        <v>18.181000000000001</v>
      </c>
      <c r="K161" s="185">
        <v>0</v>
      </c>
      <c r="L161" s="197">
        <v>0</v>
      </c>
      <c r="M161" s="185">
        <v>0.23299999999999998</v>
      </c>
      <c r="N161" s="210">
        <v>0</v>
      </c>
      <c r="O161" s="316">
        <v>7.44</v>
      </c>
      <c r="P161" s="211">
        <f t="shared" si="14"/>
        <v>0.13507417455183648</v>
      </c>
      <c r="Q161" s="317">
        <f t="shared" si="15"/>
        <v>25.989074174551838</v>
      </c>
      <c r="R161" s="196"/>
      <c r="S161" s="196"/>
      <c r="T161" s="196"/>
      <c r="U161" s="196"/>
      <c r="V161" s="196"/>
      <c r="W161" s="196">
        <f t="shared" si="16"/>
        <v>25.989074174551838</v>
      </c>
      <c r="X161" s="185">
        <v>52.533000000000001</v>
      </c>
      <c r="Y161" s="220">
        <v>1819270.44</v>
      </c>
      <c r="Z161" s="220">
        <v>1187895.255234</v>
      </c>
      <c r="AB161" s="161">
        <f>+D161-'[2]Data FY23-24 Final'!D161</f>
        <v>735434</v>
      </c>
      <c r="AC161" s="161">
        <f>+E161-'[2]Data FY23-24 Final'!E161</f>
        <v>0</v>
      </c>
      <c r="AD161" s="161">
        <f>+F161-'[2]Data FY23-24 Final'!F161</f>
        <v>735434</v>
      </c>
      <c r="AE161" s="161">
        <f>+G161-'[2]Data FY23-24 Final'!G161</f>
        <v>-0.27999999999974534</v>
      </c>
      <c r="AF161" s="186">
        <f>+H161-'[2]Data FY23-24 Final'!H161</f>
        <v>0</v>
      </c>
      <c r="AG161" s="186">
        <f>+I161-'[2]Data FY23-24 Final'!I161</f>
        <v>-1.0000000000000018</v>
      </c>
      <c r="AH161" s="186">
        <f>+J161-'[2]Data FY23-24 Final'!J161</f>
        <v>1</v>
      </c>
      <c r="AI161" s="186">
        <f>+K161-'[2]Data FY23-24 Final'!K161</f>
        <v>0</v>
      </c>
      <c r="AJ161" s="186">
        <f>+L161-'[2]Data FY23-24 Final'!L161</f>
        <v>0</v>
      </c>
      <c r="AK161" s="186">
        <f>+M161-'[2]Data FY23-24 Final'!M161</f>
        <v>-5.0000000000000044E-3</v>
      </c>
      <c r="AL161" s="186">
        <f>+N161-'[2]Data FY23-24 Final'!N161</f>
        <v>0</v>
      </c>
      <c r="AM161" s="186">
        <f>+O161-'[2]Data FY23-24 Final'!O161</f>
        <v>-0.16699999999999982</v>
      </c>
      <c r="AN161" s="186">
        <f>+P161-'[2]Data FY23-24 Final'!P161</f>
        <v>-2.9258254481635271E-3</v>
      </c>
      <c r="AO161" s="186">
        <f>+Q161-'[2]Data FY23-24 Final'!Q161</f>
        <v>0.82507417455183685</v>
      </c>
      <c r="AP161" s="186">
        <f>+R161-'[2]Data FY23-24 Final'!R161</f>
        <v>0</v>
      </c>
      <c r="AQ161" s="186">
        <f>+S161-'[2]Data FY23-24 Final'!S161</f>
        <v>0</v>
      </c>
      <c r="AR161" s="186">
        <f>+T161-'[2]Data FY23-24 Final'!T161</f>
        <v>0</v>
      </c>
      <c r="AS161" s="186">
        <f>+U161-'[2]Data FY23-24 Final'!U161</f>
        <v>0</v>
      </c>
      <c r="AT161" s="186">
        <f>+V161-'[2]Data FY23-24 Final'!V161</f>
        <v>0</v>
      </c>
      <c r="AU161" s="186">
        <f>+W161-'[2]Data FY23-24 Final'!W161</f>
        <v>0.82507417455183685</v>
      </c>
      <c r="AV161" s="186">
        <f>+X161-'[2]Data FY23-24 Final'!X161</f>
        <v>0</v>
      </c>
      <c r="AW161" s="161">
        <f>+Y161-'[2]Data FY23-24 Final'!Y161</f>
        <v>-11558.130000000121</v>
      </c>
      <c r="AX161" s="161">
        <f>+Z161-'[2]Data FY23-24 Final'!Z161</f>
        <v>-17165.689154000022</v>
      </c>
    </row>
    <row r="162" spans="1:50" s="154" customFormat="1" x14ac:dyDescent="0.25">
      <c r="A162" s="187" t="s">
        <v>426</v>
      </c>
      <c r="B162" s="187" t="s">
        <v>422</v>
      </c>
      <c r="C162" s="194" t="s">
        <v>427</v>
      </c>
      <c r="D162" s="220">
        <v>23588957</v>
      </c>
      <c r="E162" s="220">
        <v>0</v>
      </c>
      <c r="F162" s="220">
        <f t="shared" si="17"/>
        <v>23588957</v>
      </c>
      <c r="G162" s="221">
        <v>2491.73</v>
      </c>
      <c r="H162" s="348">
        <v>27</v>
      </c>
      <c r="I162" s="348">
        <v>0</v>
      </c>
      <c r="J162" s="210">
        <f t="shared" si="19"/>
        <v>27</v>
      </c>
      <c r="K162" s="185">
        <v>0</v>
      </c>
      <c r="L162" s="197">
        <v>0</v>
      </c>
      <c r="M162" s="185">
        <v>0</v>
      </c>
      <c r="N162" s="210">
        <v>0</v>
      </c>
      <c r="O162" s="316">
        <v>0</v>
      </c>
      <c r="P162" s="211">
        <f t="shared" si="14"/>
        <v>0.10563120700927982</v>
      </c>
      <c r="Q162" s="317">
        <f t="shared" si="15"/>
        <v>27.105631207009282</v>
      </c>
      <c r="R162" s="196"/>
      <c r="S162" s="196"/>
      <c r="T162" s="196"/>
      <c r="U162" s="196"/>
      <c r="V162" s="196"/>
      <c r="W162" s="196">
        <f t="shared" si="16"/>
        <v>27.105631207009282</v>
      </c>
      <c r="X162" s="185">
        <v>144.59</v>
      </c>
      <c r="Y162" s="220">
        <v>3490490.43</v>
      </c>
      <c r="Z162" s="220">
        <v>2773819.8495999998</v>
      </c>
      <c r="AB162" s="161">
        <f>+D162-'[2]Data FY23-24 Final'!D162</f>
        <v>955710</v>
      </c>
      <c r="AC162" s="161">
        <f>+E162-'[2]Data FY23-24 Final'!E162</f>
        <v>0</v>
      </c>
      <c r="AD162" s="161">
        <f>+F162-'[2]Data FY23-24 Final'!F162</f>
        <v>955710</v>
      </c>
      <c r="AE162" s="161">
        <f>+G162-'[2]Data FY23-24 Final'!G162</f>
        <v>0</v>
      </c>
      <c r="AF162" s="186">
        <f>+H162-'[2]Data FY23-24 Final'!H162</f>
        <v>0</v>
      </c>
      <c r="AG162" s="186">
        <f>+I162-'[2]Data FY23-24 Final'!I162</f>
        <v>0</v>
      </c>
      <c r="AH162" s="186">
        <f>+J162-'[2]Data FY23-24 Final'!J162</f>
        <v>0</v>
      </c>
      <c r="AI162" s="186">
        <f>+K162-'[2]Data FY23-24 Final'!K162</f>
        <v>0</v>
      </c>
      <c r="AJ162" s="186">
        <f>+L162-'[2]Data FY23-24 Final'!L162</f>
        <v>0</v>
      </c>
      <c r="AK162" s="186">
        <f>+M162-'[2]Data FY23-24 Final'!M162</f>
        <v>0</v>
      </c>
      <c r="AL162" s="186">
        <f>+N162-'[2]Data FY23-24 Final'!N162</f>
        <v>0</v>
      </c>
      <c r="AM162" s="186">
        <f>+O162-'[2]Data FY23-24 Final'!O162</f>
        <v>0</v>
      </c>
      <c r="AN162" s="186">
        <f>+P162-'[2]Data FY23-24 Final'!P162</f>
        <v>0.10563120700927982</v>
      </c>
      <c r="AO162" s="186">
        <f>+Q162-'[2]Data FY23-24 Final'!Q162</f>
        <v>0.10563120700928152</v>
      </c>
      <c r="AP162" s="186">
        <f>+R162-'[2]Data FY23-24 Final'!R162</f>
        <v>-7.069</v>
      </c>
      <c r="AQ162" s="186">
        <f>+S162-'[2]Data FY23-24 Final'!S162</f>
        <v>0</v>
      </c>
      <c r="AR162" s="186">
        <f>+T162-'[2]Data FY23-24 Final'!T162</f>
        <v>0</v>
      </c>
      <c r="AS162" s="186">
        <f>+U162-'[2]Data FY23-24 Final'!U162</f>
        <v>0</v>
      </c>
      <c r="AT162" s="186">
        <f>+V162-'[2]Data FY23-24 Final'!V162</f>
        <v>0</v>
      </c>
      <c r="AU162" s="186">
        <f>+W162-'[2]Data FY23-24 Final'!W162</f>
        <v>-6.9633687929907211</v>
      </c>
      <c r="AV162" s="186">
        <f>+X162-'[2]Data FY23-24 Final'!X162</f>
        <v>0</v>
      </c>
      <c r="AW162" s="161">
        <f>+Y162-'[2]Data FY23-24 Final'!Y162</f>
        <v>82707.290000000037</v>
      </c>
      <c r="AX162" s="161">
        <f>+Z162-'[2]Data FY23-24 Final'!Z162</f>
        <v>43627.35859999992</v>
      </c>
    </row>
    <row r="163" spans="1:50" s="154" customFormat="1" x14ac:dyDescent="0.25">
      <c r="A163" s="187" t="s">
        <v>428</v>
      </c>
      <c r="B163" s="187" t="s">
        <v>422</v>
      </c>
      <c r="C163" s="194" t="s">
        <v>429</v>
      </c>
      <c r="D163" s="220">
        <v>29740974</v>
      </c>
      <c r="E163" s="220">
        <v>0</v>
      </c>
      <c r="F163" s="220">
        <f t="shared" si="17"/>
        <v>29740974</v>
      </c>
      <c r="G163" s="221">
        <v>122.58</v>
      </c>
      <c r="H163" s="348">
        <v>27</v>
      </c>
      <c r="I163" s="348">
        <v>0</v>
      </c>
      <c r="J163" s="210">
        <f t="shared" si="19"/>
        <v>27</v>
      </c>
      <c r="K163" s="185">
        <v>0</v>
      </c>
      <c r="L163" s="197">
        <v>0</v>
      </c>
      <c r="M163" s="185">
        <v>0</v>
      </c>
      <c r="N163" s="210">
        <v>0</v>
      </c>
      <c r="O163" s="316">
        <v>0</v>
      </c>
      <c r="P163" s="211">
        <f t="shared" si="14"/>
        <v>4.1215866030480369E-3</v>
      </c>
      <c r="Q163" s="317">
        <f t="shared" si="15"/>
        <v>27.004121586603048</v>
      </c>
      <c r="R163" s="196"/>
      <c r="S163" s="196"/>
      <c r="T163" s="196"/>
      <c r="U163" s="196"/>
      <c r="V163" s="196"/>
      <c r="W163" s="196">
        <f t="shared" si="16"/>
        <v>27.004121586603048</v>
      </c>
      <c r="X163" s="185">
        <v>82.544999999999987</v>
      </c>
      <c r="Y163" s="220">
        <v>2509105.9</v>
      </c>
      <c r="Z163" s="220">
        <v>1651975.4091999999</v>
      </c>
      <c r="AB163" s="161">
        <f>+D163-'[2]Data FY23-24 Final'!D163</f>
        <v>235925</v>
      </c>
      <c r="AC163" s="161">
        <f>+E163-'[2]Data FY23-24 Final'!E163</f>
        <v>0</v>
      </c>
      <c r="AD163" s="161">
        <f>+F163-'[2]Data FY23-24 Final'!F163</f>
        <v>235925</v>
      </c>
      <c r="AE163" s="161">
        <f>+G163-'[2]Data FY23-24 Final'!G163</f>
        <v>122.58</v>
      </c>
      <c r="AF163" s="186">
        <f>+H163-'[2]Data FY23-24 Final'!H163</f>
        <v>0</v>
      </c>
      <c r="AG163" s="186">
        <f>+I163-'[2]Data FY23-24 Final'!I163</f>
        <v>0</v>
      </c>
      <c r="AH163" s="186">
        <f>+J163-'[2]Data FY23-24 Final'!J163</f>
        <v>0</v>
      </c>
      <c r="AI163" s="186">
        <f>+K163-'[2]Data FY23-24 Final'!K163</f>
        <v>0</v>
      </c>
      <c r="AJ163" s="186">
        <f>+L163-'[2]Data FY23-24 Final'!L163</f>
        <v>0</v>
      </c>
      <c r="AK163" s="186">
        <f>+M163-'[2]Data FY23-24 Final'!M163</f>
        <v>0</v>
      </c>
      <c r="AL163" s="186">
        <f>+N163-'[2]Data FY23-24 Final'!N163</f>
        <v>0</v>
      </c>
      <c r="AM163" s="186">
        <f>+O163-'[2]Data FY23-24 Final'!O163</f>
        <v>0</v>
      </c>
      <c r="AN163" s="186">
        <f>+P163-'[2]Data FY23-24 Final'!P163</f>
        <v>4.1215866030480369E-3</v>
      </c>
      <c r="AO163" s="186">
        <f>+Q163-'[2]Data FY23-24 Final'!Q163</f>
        <v>4.1215866030483994E-3</v>
      </c>
      <c r="AP163" s="186">
        <f>+R163-'[2]Data FY23-24 Final'!R163</f>
        <v>0</v>
      </c>
      <c r="AQ163" s="186">
        <f>+S163-'[2]Data FY23-24 Final'!S163</f>
        <v>0</v>
      </c>
      <c r="AR163" s="186">
        <f>+T163-'[2]Data FY23-24 Final'!T163</f>
        <v>0</v>
      </c>
      <c r="AS163" s="186">
        <f>+U163-'[2]Data FY23-24 Final'!U163</f>
        <v>0</v>
      </c>
      <c r="AT163" s="186">
        <f>+V163-'[2]Data FY23-24 Final'!V163</f>
        <v>0</v>
      </c>
      <c r="AU163" s="186">
        <f>+W163-'[2]Data FY23-24 Final'!W163</f>
        <v>4.1215866030483994E-3</v>
      </c>
      <c r="AV163" s="186">
        <f>+X163-'[2]Data FY23-24 Final'!X163</f>
        <v>0</v>
      </c>
      <c r="AW163" s="161">
        <f>+Y163-'[2]Data FY23-24 Final'!Y163</f>
        <v>-29389.760000000242</v>
      </c>
      <c r="AX163" s="161">
        <f>+Z163-'[2]Data FY23-24 Final'!Z163</f>
        <v>-22498.997800000478</v>
      </c>
    </row>
    <row r="164" spans="1:50" s="154" customFormat="1" x14ac:dyDescent="0.25">
      <c r="A164" s="187" t="s">
        <v>430</v>
      </c>
      <c r="B164" s="187" t="s">
        <v>422</v>
      </c>
      <c r="C164" s="194" t="s">
        <v>431</v>
      </c>
      <c r="D164" s="220">
        <v>38366281</v>
      </c>
      <c r="E164" s="220">
        <v>0</v>
      </c>
      <c r="F164" s="220">
        <f t="shared" si="17"/>
        <v>38366281</v>
      </c>
      <c r="G164" s="221">
        <v>4819.58</v>
      </c>
      <c r="H164" s="348">
        <v>27</v>
      </c>
      <c r="I164" s="348">
        <v>3.227999999999998</v>
      </c>
      <c r="J164" s="210">
        <f t="shared" si="19"/>
        <v>23.772000000000002</v>
      </c>
      <c r="K164" s="185">
        <v>0</v>
      </c>
      <c r="L164" s="197">
        <v>0</v>
      </c>
      <c r="M164" s="185">
        <v>2.0059999999999998</v>
      </c>
      <c r="N164" s="210">
        <v>0</v>
      </c>
      <c r="O164" s="316">
        <v>4.04</v>
      </c>
      <c r="P164" s="211">
        <f t="shared" si="14"/>
        <v>0.12562020280255989</v>
      </c>
      <c r="Q164" s="317">
        <f t="shared" si="15"/>
        <v>29.94362020280256</v>
      </c>
      <c r="R164" s="196"/>
      <c r="S164" s="196"/>
      <c r="T164" s="196"/>
      <c r="U164" s="196"/>
      <c r="V164" s="196"/>
      <c r="W164" s="196">
        <f t="shared" si="16"/>
        <v>29.94362020280256</v>
      </c>
      <c r="X164" s="185">
        <v>38.995000000000005</v>
      </c>
      <c r="Y164" s="220">
        <v>1599978.17</v>
      </c>
      <c r="Z164" s="220">
        <v>622420.74416799983</v>
      </c>
      <c r="AB164" s="161">
        <f>+D164-'[2]Data FY23-24 Final'!D164</f>
        <v>346927</v>
      </c>
      <c r="AC164" s="161">
        <f>+E164-'[2]Data FY23-24 Final'!E164</f>
        <v>0</v>
      </c>
      <c r="AD164" s="161">
        <f>+F164-'[2]Data FY23-24 Final'!F164</f>
        <v>346927</v>
      </c>
      <c r="AE164" s="161">
        <f>+G164-'[2]Data FY23-24 Final'!G164</f>
        <v>0</v>
      </c>
      <c r="AF164" s="186">
        <f>+H164-'[2]Data FY23-24 Final'!H164</f>
        <v>0</v>
      </c>
      <c r="AG164" s="186">
        <f>+I164-'[2]Data FY23-24 Final'!I164</f>
        <v>-1.0000000000000018</v>
      </c>
      <c r="AH164" s="186">
        <f>+J164-'[2]Data FY23-24 Final'!J164</f>
        <v>1.0000000000000036</v>
      </c>
      <c r="AI164" s="186">
        <f>+K164-'[2]Data FY23-24 Final'!K164</f>
        <v>0</v>
      </c>
      <c r="AJ164" s="186">
        <f>+L164-'[2]Data FY23-24 Final'!L164</f>
        <v>0</v>
      </c>
      <c r="AK164" s="186">
        <f>+M164-'[2]Data FY23-24 Final'!M164</f>
        <v>-1.8000000000000238E-2</v>
      </c>
      <c r="AL164" s="186">
        <f>+N164-'[2]Data FY23-24 Final'!N164</f>
        <v>0</v>
      </c>
      <c r="AM164" s="186">
        <f>+O164-'[2]Data FY23-24 Final'!O164</f>
        <v>-3.6999999999999922E-2</v>
      </c>
      <c r="AN164" s="186">
        <f>+P164-'[2]Data FY23-24 Final'!P164</f>
        <v>-1.379797197440108E-3</v>
      </c>
      <c r="AO164" s="186">
        <f>+Q164-'[2]Data FY23-24 Final'!Q164</f>
        <v>0.94362020280255976</v>
      </c>
      <c r="AP164" s="186">
        <f>+R164-'[2]Data FY23-24 Final'!R164</f>
        <v>0</v>
      </c>
      <c r="AQ164" s="186">
        <f>+S164-'[2]Data FY23-24 Final'!S164</f>
        <v>0</v>
      </c>
      <c r="AR164" s="186">
        <f>+T164-'[2]Data FY23-24 Final'!T164</f>
        <v>0</v>
      </c>
      <c r="AS164" s="186">
        <f>+U164-'[2]Data FY23-24 Final'!U164</f>
        <v>0</v>
      </c>
      <c r="AT164" s="186">
        <f>+V164-'[2]Data FY23-24 Final'!V164</f>
        <v>0</v>
      </c>
      <c r="AU164" s="186">
        <f>+W164-'[2]Data FY23-24 Final'!W164</f>
        <v>0.94362020280255976</v>
      </c>
      <c r="AV164" s="186">
        <f>+X164-'[2]Data FY23-24 Final'!X164</f>
        <v>0</v>
      </c>
      <c r="AW164" s="161">
        <f>+Y164-'[2]Data FY23-24 Final'!Y164</f>
        <v>88484.969999999972</v>
      </c>
      <c r="AX164" s="161">
        <f>+Z164-'[2]Data FY23-24 Final'!Z164</f>
        <v>82462.253455999889</v>
      </c>
    </row>
    <row r="165" spans="1:50" s="154" customFormat="1" ht="13" x14ac:dyDescent="0.3">
      <c r="A165" s="187" t="s">
        <v>432</v>
      </c>
      <c r="B165" s="187" t="s">
        <v>433</v>
      </c>
      <c r="C165" s="194" t="s">
        <v>434</v>
      </c>
      <c r="D165" s="349">
        <v>1407274600</v>
      </c>
      <c r="E165" s="349">
        <v>220279</v>
      </c>
      <c r="F165" s="349">
        <v>1407054321</v>
      </c>
      <c r="G165" s="350">
        <v>1825.97</v>
      </c>
      <c r="H165" s="348">
        <v>9.6389999999999993</v>
      </c>
      <c r="I165" s="348">
        <v>0</v>
      </c>
      <c r="J165" s="210">
        <f t="shared" si="19"/>
        <v>9.6389999999999993</v>
      </c>
      <c r="K165" s="185">
        <v>-1E-3</v>
      </c>
      <c r="L165" s="197">
        <v>1E-3</v>
      </c>
      <c r="M165" s="185">
        <v>0</v>
      </c>
      <c r="N165" s="210">
        <v>0</v>
      </c>
      <c r="O165" s="316">
        <v>2.294</v>
      </c>
      <c r="P165" s="211">
        <f t="shared" si="14"/>
        <v>1.2977253065128819E-3</v>
      </c>
      <c r="Q165" s="317">
        <f t="shared" si="15"/>
        <v>11.934297725306513</v>
      </c>
      <c r="R165" s="196"/>
      <c r="S165" s="196"/>
      <c r="T165" s="196"/>
      <c r="U165" s="196"/>
      <c r="V165" s="196"/>
      <c r="W165" s="196">
        <f t="shared" si="16"/>
        <v>11.934297725306513</v>
      </c>
      <c r="X165" s="185">
        <v>10.983000000000001</v>
      </c>
      <c r="Y165" s="220">
        <v>19093659.34</v>
      </c>
      <c r="Z165" s="220">
        <v>3035091.0894999993</v>
      </c>
      <c r="AB165" s="161">
        <f>+D165-'[2]Data FY23-24 Final'!D165</f>
        <v>-286033640</v>
      </c>
      <c r="AC165" s="161">
        <f>+E165-'[2]Data FY23-24 Final'!E165</f>
        <v>-92351</v>
      </c>
      <c r="AD165" s="161">
        <f>+F165-'[2]Data FY23-24 Final'!F165</f>
        <v>-285941289</v>
      </c>
      <c r="AE165" s="161">
        <f>+G165-'[2]Data FY23-24 Final'!G165</f>
        <v>-590379.04</v>
      </c>
      <c r="AF165" s="186">
        <f>+H165-'[2]Data FY23-24 Final'!H165</f>
        <v>0</v>
      </c>
      <c r="AG165" s="186">
        <f>+I165-'[2]Data FY23-24 Final'!I165</f>
        <v>-0.439</v>
      </c>
      <c r="AH165" s="186">
        <f>+J165-'[2]Data FY23-24 Final'!J165</f>
        <v>0.43900000000000006</v>
      </c>
      <c r="AI165" s="186">
        <f>+K165-'[2]Data FY23-24 Final'!K165</f>
        <v>-1E-3</v>
      </c>
      <c r="AJ165" s="186">
        <f>+L165-'[2]Data FY23-24 Final'!L165</f>
        <v>1E-3</v>
      </c>
      <c r="AK165" s="186">
        <f>+M165-'[2]Data FY23-24 Final'!M165</f>
        <v>0</v>
      </c>
      <c r="AL165" s="186">
        <f>+N165-'[2]Data FY23-24 Final'!N165</f>
        <v>0</v>
      </c>
      <c r="AM165" s="186">
        <f>+O165-'[2]Data FY23-24 Final'!O165</f>
        <v>-1.1000000000000121E-2</v>
      </c>
      <c r="AN165" s="186">
        <f>+P165-'[2]Data FY23-24 Final'!P165</f>
        <v>-0.34870227469348708</v>
      </c>
      <c r="AO165" s="186">
        <f>+Q165-'[2]Data FY23-24 Final'!Q165</f>
        <v>7.9297725306512135E-2</v>
      </c>
      <c r="AP165" s="186">
        <f>+R165-'[2]Data FY23-24 Final'!R165</f>
        <v>-1.4470000000000001</v>
      </c>
      <c r="AQ165" s="186">
        <f>+S165-'[2]Data FY23-24 Final'!S165</f>
        <v>0</v>
      </c>
      <c r="AR165" s="186">
        <f>+T165-'[2]Data FY23-24 Final'!T165</f>
        <v>0</v>
      </c>
      <c r="AS165" s="186">
        <f>+U165-'[2]Data FY23-24 Final'!U165</f>
        <v>0</v>
      </c>
      <c r="AT165" s="186">
        <f>+V165-'[2]Data FY23-24 Final'!V165</f>
        <v>0</v>
      </c>
      <c r="AU165" s="186">
        <f>+W165-'[2]Data FY23-24 Final'!W165</f>
        <v>-1.367702274693487</v>
      </c>
      <c r="AV165" s="186">
        <f>+X165-'[2]Data FY23-24 Final'!X165</f>
        <v>0</v>
      </c>
      <c r="AW165" s="161">
        <f>+Y165-'[2]Data FY23-24 Final'!Y165</f>
        <v>278029.62000000104</v>
      </c>
      <c r="AX165" s="161">
        <f>+Z165-'[2]Data FY23-24 Final'!Z165</f>
        <v>321572.71150000021</v>
      </c>
    </row>
    <row r="166" spans="1:50" s="154" customFormat="1" ht="13" x14ac:dyDescent="0.3">
      <c r="A166" s="187" t="s">
        <v>435</v>
      </c>
      <c r="B166" s="187" t="s">
        <v>433</v>
      </c>
      <c r="C166" s="194" t="s">
        <v>436</v>
      </c>
      <c r="D166" s="349">
        <v>832795760</v>
      </c>
      <c r="E166" s="349">
        <v>0</v>
      </c>
      <c r="F166" s="349">
        <v>832792750</v>
      </c>
      <c r="G166" s="350">
        <v>3281.28</v>
      </c>
      <c r="H166" s="357">
        <v>22.207999999999998</v>
      </c>
      <c r="I166" s="357">
        <v>0</v>
      </c>
      <c r="J166" s="352">
        <f>+H166-K166-L166</f>
        <v>17.068999999999999</v>
      </c>
      <c r="K166" s="353">
        <v>0.67</v>
      </c>
      <c r="L166" s="354">
        <v>4.4689999999999976</v>
      </c>
      <c r="M166" s="185">
        <v>0</v>
      </c>
      <c r="N166" s="210">
        <v>0</v>
      </c>
      <c r="O166" s="316">
        <v>1.008</v>
      </c>
      <c r="P166" s="211">
        <f t="shared" si="14"/>
        <v>3.9400919376399472E-3</v>
      </c>
      <c r="Q166" s="317">
        <f t="shared" si="15"/>
        <v>23.219940091937637</v>
      </c>
      <c r="R166" s="196"/>
      <c r="S166" s="196"/>
      <c r="T166" s="196"/>
      <c r="U166" s="196"/>
      <c r="V166" s="196"/>
      <c r="W166" s="196">
        <f t="shared" si="16"/>
        <v>23.219940091937637</v>
      </c>
      <c r="X166" s="185">
        <v>17.069000000000003</v>
      </c>
      <c r="Y166" s="220">
        <v>20919607.800000001</v>
      </c>
      <c r="Z166" s="220">
        <v>0</v>
      </c>
      <c r="AB166" s="161">
        <f>+D166-'[2]Data FY23-24 Final'!D166</f>
        <v>-345170560</v>
      </c>
      <c r="AC166" s="161">
        <f>+E166-'[2]Data FY23-24 Final'!E166</f>
        <v>0</v>
      </c>
      <c r="AD166" s="161">
        <f>+F166-'[2]Data FY23-24 Final'!F166</f>
        <v>-345173570</v>
      </c>
      <c r="AE166" s="161">
        <f>+G166-'[2]Data FY23-24 Final'!G166</f>
        <v>249.2800000000002</v>
      </c>
      <c r="AF166" s="186">
        <f>+H166-'[2]Data FY23-24 Final'!H166</f>
        <v>0</v>
      </c>
      <c r="AG166" s="186">
        <f>+I166-'[2]Data FY23-24 Final'!I166</f>
        <v>0</v>
      </c>
      <c r="AH166" s="186">
        <f>+J166-'[2]Data FY23-24 Final'!J166</f>
        <v>5.5999999999997385E-2</v>
      </c>
      <c r="AI166" s="186">
        <f>+K166-'[2]Data FY23-24 Final'!K166</f>
        <v>-1.0000000000000009E-2</v>
      </c>
      <c r="AJ166" s="186">
        <f>+L166-'[2]Data FY23-24 Final'!L166</f>
        <v>-4.6000000000002039E-2</v>
      </c>
      <c r="AK166" s="186">
        <f>+M166-'[2]Data FY23-24 Final'!M166</f>
        <v>0</v>
      </c>
      <c r="AL166" s="186">
        <f>+N166-'[2]Data FY23-24 Final'!N166</f>
        <v>0</v>
      </c>
      <c r="AM166" s="186">
        <f>+O166-'[2]Data FY23-24 Final'!O166</f>
        <v>-1.2839999999999998</v>
      </c>
      <c r="AN166" s="186">
        <f>+P166-'[2]Data FY23-24 Final'!P166</f>
        <v>9.4009193763994713E-4</v>
      </c>
      <c r="AO166" s="186">
        <f>+Q166-'[2]Data FY23-24 Final'!Q166</f>
        <v>-1.2830599080623628</v>
      </c>
      <c r="AP166" s="186">
        <f>+R166-'[2]Data FY23-24 Final'!R166</f>
        <v>-8.5969999999999995</v>
      </c>
      <c r="AQ166" s="186">
        <f>+S166-'[2]Data FY23-24 Final'!S166</f>
        <v>0</v>
      </c>
      <c r="AR166" s="186">
        <f>+T166-'[2]Data FY23-24 Final'!T166</f>
        <v>0</v>
      </c>
      <c r="AS166" s="186">
        <f>+U166-'[2]Data FY23-24 Final'!U166</f>
        <v>0</v>
      </c>
      <c r="AT166" s="186">
        <f>+V166-'[2]Data FY23-24 Final'!V166</f>
        <v>0</v>
      </c>
      <c r="AU166" s="186">
        <f>+W166-'[2]Data FY23-24 Final'!W166</f>
        <v>-9.8800599080623641</v>
      </c>
      <c r="AV166" s="186">
        <f>+X166-'[2]Data FY23-24 Final'!X166</f>
        <v>0</v>
      </c>
      <c r="AW166" s="161">
        <f>+Y166-'[2]Data FY23-24 Final'!Y166</f>
        <v>66845.730000000447</v>
      </c>
      <c r="AX166" s="161">
        <f>+Z166-'[2]Data FY23-24 Final'!Z166</f>
        <v>0</v>
      </c>
    </row>
    <row r="167" spans="1:50" s="154" customFormat="1" x14ac:dyDescent="0.25">
      <c r="A167" s="187" t="s">
        <v>437</v>
      </c>
      <c r="B167" s="187" t="s">
        <v>433</v>
      </c>
      <c r="C167" s="194" t="s">
        <v>438</v>
      </c>
      <c r="D167" s="220">
        <v>2468897260</v>
      </c>
      <c r="E167" s="220">
        <v>0</v>
      </c>
      <c r="F167" s="220">
        <f t="shared" si="17"/>
        <v>2468897260</v>
      </c>
      <c r="G167" s="221">
        <v>605410.79</v>
      </c>
      <c r="H167" s="348">
        <v>10.845000000000001</v>
      </c>
      <c r="I167" s="348">
        <v>0</v>
      </c>
      <c r="J167" s="352">
        <f>+H167-I167-K167-L167</f>
        <v>10.796999999999999</v>
      </c>
      <c r="K167" s="353">
        <v>4.8000000000000001E-2</v>
      </c>
      <c r="L167" s="354">
        <v>1.1655173354219173E-15</v>
      </c>
      <c r="M167" s="185">
        <v>1.9E-2</v>
      </c>
      <c r="N167" s="210">
        <v>0</v>
      </c>
      <c r="O167" s="316">
        <v>1.823</v>
      </c>
      <c r="P167" s="211">
        <f t="shared" si="14"/>
        <v>0.24521506010339206</v>
      </c>
      <c r="Q167" s="317">
        <f t="shared" si="15"/>
        <v>12.932215060103394</v>
      </c>
      <c r="R167" s="196"/>
      <c r="S167" s="196"/>
      <c r="T167" s="196"/>
      <c r="U167" s="196"/>
      <c r="V167" s="196"/>
      <c r="W167" s="196">
        <f t="shared" si="16"/>
        <v>12.932215060103394</v>
      </c>
      <c r="X167" s="185">
        <v>10.796999999999999</v>
      </c>
      <c r="Y167" s="220">
        <v>27371383.920000002</v>
      </c>
      <c r="Z167" s="220">
        <v>0</v>
      </c>
      <c r="AB167" s="161">
        <f>+D167-'[2]Data FY23-24 Final'!D167</f>
        <v>21078440</v>
      </c>
      <c r="AC167" s="161">
        <f>+E167-'[2]Data FY23-24 Final'!E167</f>
        <v>0</v>
      </c>
      <c r="AD167" s="161">
        <f>+F167-'[2]Data FY23-24 Final'!F167</f>
        <v>21078440</v>
      </c>
      <c r="AE167" s="161">
        <f>+G167-'[2]Data FY23-24 Final'!G167</f>
        <v>3465.7900000000373</v>
      </c>
      <c r="AF167" s="186">
        <f>+H167-'[2]Data FY23-24 Final'!H167</f>
        <v>0</v>
      </c>
      <c r="AG167" s="186">
        <f>+I167-'[2]Data FY23-24 Final'!I167</f>
        <v>0</v>
      </c>
      <c r="AH167" s="186">
        <f>+J167-'[2]Data FY23-24 Final'!J167</f>
        <v>-1.0000000000012221E-3</v>
      </c>
      <c r="AI167" s="186">
        <f>+K167-'[2]Data FY23-24 Final'!K167</f>
        <v>1.0000000000000009E-3</v>
      </c>
      <c r="AJ167" s="186">
        <f>+L167-'[2]Data FY23-24 Final'!L167</f>
        <v>1.1655173354219173E-15</v>
      </c>
      <c r="AK167" s="186">
        <f>+M167-'[2]Data FY23-24 Final'!M167</f>
        <v>0</v>
      </c>
      <c r="AL167" s="186">
        <f>+N167-'[2]Data FY23-24 Final'!N167</f>
        <v>0</v>
      </c>
      <c r="AM167" s="186">
        <f>+O167-'[2]Data FY23-24 Final'!O167</f>
        <v>-1.5000000000000124E-2</v>
      </c>
      <c r="AN167" s="186">
        <f>+P167-'[2]Data FY23-24 Final'!P167</f>
        <v>2.1506010339206183E-4</v>
      </c>
      <c r="AO167" s="186">
        <f>+Q167-'[2]Data FY23-24 Final'!Q167</f>
        <v>-1.4784939896605565E-2</v>
      </c>
      <c r="AP167" s="186">
        <f>+R167-'[2]Data FY23-24 Final'!R167</f>
        <v>-3.8460000000000001</v>
      </c>
      <c r="AQ167" s="186">
        <f>+S167-'[2]Data FY23-24 Final'!S167</f>
        <v>0</v>
      </c>
      <c r="AR167" s="186">
        <f>+T167-'[2]Data FY23-24 Final'!T167</f>
        <v>0</v>
      </c>
      <c r="AS167" s="186">
        <f>+U167-'[2]Data FY23-24 Final'!U167</f>
        <v>0</v>
      </c>
      <c r="AT167" s="186">
        <f>+V167-'[2]Data FY23-24 Final'!V167</f>
        <v>0</v>
      </c>
      <c r="AU167" s="186">
        <f>+W167-'[2]Data FY23-24 Final'!W167</f>
        <v>-3.8607849398966056</v>
      </c>
      <c r="AV167" s="186">
        <f>+X167-'[2]Data FY23-24 Final'!X167</f>
        <v>0</v>
      </c>
      <c r="AW167" s="161">
        <f>+Y167-'[2]Data FY23-24 Final'!Y167</f>
        <v>69296.160000000149</v>
      </c>
      <c r="AX167" s="161">
        <f>+Z167-'[2]Data FY23-24 Final'!Z167</f>
        <v>0</v>
      </c>
    </row>
    <row r="168" spans="1:50" s="154" customFormat="1" ht="13" x14ac:dyDescent="0.3">
      <c r="A168" s="187" t="s">
        <v>439</v>
      </c>
      <c r="B168" s="187" t="s">
        <v>433</v>
      </c>
      <c r="C168" s="194" t="s">
        <v>440</v>
      </c>
      <c r="D168" s="349">
        <v>1914966080</v>
      </c>
      <c r="E168" s="349">
        <v>1395811</v>
      </c>
      <c r="F168" s="349">
        <v>1913570269</v>
      </c>
      <c r="G168" s="350">
        <v>319106.90999999997</v>
      </c>
      <c r="H168" s="348">
        <v>27</v>
      </c>
      <c r="I168" s="348">
        <v>0</v>
      </c>
      <c r="J168" s="210">
        <f>+H168-I168</f>
        <v>27</v>
      </c>
      <c r="K168" s="185">
        <v>0</v>
      </c>
      <c r="L168" s="197">
        <v>0</v>
      </c>
      <c r="M168" s="185">
        <v>0</v>
      </c>
      <c r="N168" s="210">
        <v>0</v>
      </c>
      <c r="O168" s="316">
        <v>1.0839999999999999</v>
      </c>
      <c r="P168" s="211">
        <f t="shared" si="14"/>
        <v>0.16675996443379104</v>
      </c>
      <c r="Q168" s="317">
        <f t="shared" si="15"/>
        <v>28.25075996443379</v>
      </c>
      <c r="R168" s="196"/>
      <c r="S168" s="196"/>
      <c r="T168" s="196"/>
      <c r="U168" s="196"/>
      <c r="V168" s="196"/>
      <c r="W168" s="196">
        <f t="shared" si="16"/>
        <v>28.25075996443379</v>
      </c>
      <c r="X168" s="185">
        <v>34.323</v>
      </c>
      <c r="Y168" s="220">
        <v>84049551.650000006</v>
      </c>
      <c r="Z168" s="220">
        <v>17530270.200500008</v>
      </c>
      <c r="AB168" s="161">
        <f>+D168-'[2]Data FY23-24 Final'!D168</f>
        <v>-425523030</v>
      </c>
      <c r="AC168" s="161">
        <f>+E168-'[2]Data FY23-24 Final'!E168</f>
        <v>184701</v>
      </c>
      <c r="AD168" s="161">
        <f>+F168-'[2]Data FY23-24 Final'!F168</f>
        <v>-425707731</v>
      </c>
      <c r="AE168" s="161">
        <f>+G168-'[2]Data FY23-24 Final'!G168</f>
        <v>252856.18999999997</v>
      </c>
      <c r="AF168" s="186">
        <f>+H168-'[2]Data FY23-24 Final'!H168</f>
        <v>0</v>
      </c>
      <c r="AG168" s="186">
        <f>+I168-'[2]Data FY23-24 Final'!I168</f>
        <v>0</v>
      </c>
      <c r="AH168" s="186">
        <f>+J168-'[2]Data FY23-24 Final'!J168</f>
        <v>0</v>
      </c>
      <c r="AI168" s="186">
        <f>+K168-'[2]Data FY23-24 Final'!K168</f>
        <v>0</v>
      </c>
      <c r="AJ168" s="186">
        <f>+L168-'[2]Data FY23-24 Final'!L168</f>
        <v>0</v>
      </c>
      <c r="AK168" s="186">
        <f>+M168-'[2]Data FY23-24 Final'!M168</f>
        <v>0</v>
      </c>
      <c r="AL168" s="186">
        <f>+N168-'[2]Data FY23-24 Final'!N168</f>
        <v>0</v>
      </c>
      <c r="AM168" s="186">
        <f>+O168-'[2]Data FY23-24 Final'!O168</f>
        <v>-3.702</v>
      </c>
      <c r="AN168" s="186">
        <f>+P168-'[2]Data FY23-24 Final'!P168</f>
        <v>0.13875996443379104</v>
      </c>
      <c r="AO168" s="186">
        <f>+Q168-'[2]Data FY23-24 Final'!Q168</f>
        <v>-3.5632400355662099</v>
      </c>
      <c r="AP168" s="186">
        <f>+R168-'[2]Data FY23-24 Final'!R168</f>
        <v>-12.568</v>
      </c>
      <c r="AQ168" s="186">
        <f>+S168-'[2]Data FY23-24 Final'!S168</f>
        <v>0</v>
      </c>
      <c r="AR168" s="186">
        <f>+T168-'[2]Data FY23-24 Final'!T168</f>
        <v>0</v>
      </c>
      <c r="AS168" s="186">
        <f>+U168-'[2]Data FY23-24 Final'!U168</f>
        <v>0</v>
      </c>
      <c r="AT168" s="186">
        <f>+V168-'[2]Data FY23-24 Final'!V168</f>
        <v>0</v>
      </c>
      <c r="AU168" s="186">
        <f>+W168-'[2]Data FY23-24 Final'!W168</f>
        <v>-16.131240035566208</v>
      </c>
      <c r="AV168" s="186">
        <f>+X168-'[2]Data FY23-24 Final'!X168</f>
        <v>0</v>
      </c>
      <c r="AW168" s="161">
        <f>+Y168-'[2]Data FY23-24 Final'!Y168</f>
        <v>1468138.1000000089</v>
      </c>
      <c r="AX168" s="161">
        <f>+Z168-'[2]Data FY23-24 Final'!Z168</f>
        <v>-166461.779499989</v>
      </c>
    </row>
    <row r="169" spans="1:50" s="154" customFormat="1" ht="13" x14ac:dyDescent="0.3">
      <c r="A169" s="187" t="s">
        <v>441</v>
      </c>
      <c r="B169" s="187" t="s">
        <v>433</v>
      </c>
      <c r="C169" s="194" t="s">
        <v>442</v>
      </c>
      <c r="D169" s="349">
        <v>1202777104</v>
      </c>
      <c r="E169" s="349">
        <v>0</v>
      </c>
      <c r="F169" s="349">
        <v>1202777104</v>
      </c>
      <c r="G169" s="350">
        <v>29701.97</v>
      </c>
      <c r="H169" s="348">
        <v>27</v>
      </c>
      <c r="I169" s="348">
        <v>4.5859999999999985</v>
      </c>
      <c r="J169" s="210">
        <f>+H169-I169</f>
        <v>22.414000000000001</v>
      </c>
      <c r="K169" s="185">
        <v>0</v>
      </c>
      <c r="L169" s="197">
        <v>0</v>
      </c>
      <c r="M169" s="185">
        <v>0</v>
      </c>
      <c r="N169" s="210">
        <v>0</v>
      </c>
      <c r="O169" s="316">
        <v>0.36900000000000005</v>
      </c>
      <c r="P169" s="211">
        <f t="shared" si="14"/>
        <v>2.4694492355418166E-2</v>
      </c>
      <c r="Q169" s="317">
        <f t="shared" si="15"/>
        <v>22.80769449235542</v>
      </c>
      <c r="R169" s="196"/>
      <c r="S169" s="196"/>
      <c r="T169" s="196"/>
      <c r="U169" s="196"/>
      <c r="V169" s="196"/>
      <c r="W169" s="196">
        <f t="shared" si="16"/>
        <v>22.80769449235542</v>
      </c>
      <c r="X169" s="185">
        <v>28.455000000000002</v>
      </c>
      <c r="Y169" s="220">
        <v>39021440.789999999</v>
      </c>
      <c r="Z169" s="220">
        <v>9527249.3198980018</v>
      </c>
      <c r="AB169" s="161">
        <f>+D169-'[2]Data FY23-24 Final'!D169</f>
        <v>-125575546</v>
      </c>
      <c r="AC169" s="161">
        <f>+E169-'[2]Data FY23-24 Final'!E169</f>
        <v>0</v>
      </c>
      <c r="AD169" s="161">
        <f>+F169-'[2]Data FY23-24 Final'!F169</f>
        <v>-125575546</v>
      </c>
      <c r="AE169" s="161">
        <f>+G169-'[2]Data FY23-24 Final'!G169</f>
        <v>-254985.24999999997</v>
      </c>
      <c r="AF169" s="186">
        <f>+H169-'[2]Data FY23-24 Final'!H169</f>
        <v>0</v>
      </c>
      <c r="AG169" s="186">
        <f>+I169-'[2]Data FY23-24 Final'!I169</f>
        <v>-1.0000000000000018</v>
      </c>
      <c r="AH169" s="186">
        <f>+J169-'[2]Data FY23-24 Final'!J169</f>
        <v>1</v>
      </c>
      <c r="AI169" s="186">
        <f>+K169-'[2]Data FY23-24 Final'!K169</f>
        <v>0</v>
      </c>
      <c r="AJ169" s="186">
        <f>+L169-'[2]Data FY23-24 Final'!L169</f>
        <v>0</v>
      </c>
      <c r="AK169" s="186">
        <f>+M169-'[2]Data FY23-24 Final'!M169</f>
        <v>0</v>
      </c>
      <c r="AL169" s="186">
        <f>+N169-'[2]Data FY23-24 Final'!N169</f>
        <v>0</v>
      </c>
      <c r="AM169" s="186">
        <f>+O169-'[2]Data FY23-24 Final'!O169</f>
        <v>-3.0179999999999998</v>
      </c>
      <c r="AN169" s="186">
        <f>+P169-'[2]Data FY23-24 Final'!P169</f>
        <v>-0.18930550764458182</v>
      </c>
      <c r="AO169" s="186">
        <f>+Q169-'[2]Data FY23-24 Final'!Q169</f>
        <v>-2.2073055076445804</v>
      </c>
      <c r="AP169" s="186">
        <f>+R169-'[2]Data FY23-24 Final'!R169</f>
        <v>-8.9730000000000008</v>
      </c>
      <c r="AQ169" s="186">
        <f>+S169-'[2]Data FY23-24 Final'!S169</f>
        <v>0</v>
      </c>
      <c r="AR169" s="186">
        <f>+T169-'[2]Data FY23-24 Final'!T169</f>
        <v>0</v>
      </c>
      <c r="AS169" s="186">
        <f>+U169-'[2]Data FY23-24 Final'!U169</f>
        <v>0</v>
      </c>
      <c r="AT169" s="186">
        <f>+V169-'[2]Data FY23-24 Final'!V169</f>
        <v>0</v>
      </c>
      <c r="AU169" s="186">
        <f>+W169-'[2]Data FY23-24 Final'!W169</f>
        <v>-11.180305507644579</v>
      </c>
      <c r="AV169" s="186">
        <f>+X169-'[2]Data FY23-24 Final'!X169</f>
        <v>0</v>
      </c>
      <c r="AW169" s="161">
        <f>+Y169-'[2]Data FY23-24 Final'!Y169</f>
        <v>421006.15999999642</v>
      </c>
      <c r="AX169" s="161">
        <f>+Z169-'[2]Data FY23-24 Final'!Z169</f>
        <v>-125999.48300200328</v>
      </c>
    </row>
    <row r="170" spans="1:50" s="154" customFormat="1" ht="13" x14ac:dyDescent="0.3">
      <c r="A170" s="187" t="s">
        <v>443</v>
      </c>
      <c r="B170" s="187" t="s">
        <v>433</v>
      </c>
      <c r="C170" s="194" t="s">
        <v>444</v>
      </c>
      <c r="D170" s="349">
        <v>2554973210</v>
      </c>
      <c r="E170" s="349">
        <v>147183386</v>
      </c>
      <c r="F170" s="349">
        <v>2407789824</v>
      </c>
      <c r="G170" s="350">
        <v>214292.02</v>
      </c>
      <c r="H170" s="348">
        <v>27</v>
      </c>
      <c r="I170" s="348">
        <v>0</v>
      </c>
      <c r="J170" s="210">
        <f>+H170-I170</f>
        <v>27</v>
      </c>
      <c r="K170" s="185">
        <v>0</v>
      </c>
      <c r="L170" s="197">
        <v>0</v>
      </c>
      <c r="M170" s="185">
        <v>0</v>
      </c>
      <c r="N170" s="210">
        <v>0</v>
      </c>
      <c r="O170" s="316">
        <v>0</v>
      </c>
      <c r="P170" s="211">
        <f t="shared" si="14"/>
        <v>8.8999470744502984E-2</v>
      </c>
      <c r="Q170" s="317">
        <f t="shared" si="15"/>
        <v>27.088999470744504</v>
      </c>
      <c r="R170" s="196"/>
      <c r="S170" s="196"/>
      <c r="T170" s="196"/>
      <c r="U170" s="196"/>
      <c r="V170" s="196"/>
      <c r="W170" s="196">
        <f t="shared" si="16"/>
        <v>27.088999470744504</v>
      </c>
      <c r="X170" s="185">
        <v>77.081000000000003</v>
      </c>
      <c r="Y170" s="220">
        <v>237907132.87</v>
      </c>
      <c r="Z170" s="220">
        <v>152309148.8267</v>
      </c>
      <c r="AB170" s="161">
        <f>+D170-'[2]Data FY23-24 Final'!D170</f>
        <v>-573612500</v>
      </c>
      <c r="AC170" s="161">
        <f>+E170-'[2]Data FY23-24 Final'!E170</f>
        <v>-45750507</v>
      </c>
      <c r="AD170" s="161">
        <f>+F170-'[2]Data FY23-24 Final'!F170</f>
        <v>-527861993</v>
      </c>
      <c r="AE170" s="161">
        <f>+G170-'[2]Data FY23-24 Final'!G170</f>
        <v>98891.37</v>
      </c>
      <c r="AF170" s="186">
        <f>+H170-'[2]Data FY23-24 Final'!H170</f>
        <v>0</v>
      </c>
      <c r="AG170" s="186">
        <f>+I170-'[2]Data FY23-24 Final'!I170</f>
        <v>0</v>
      </c>
      <c r="AH170" s="186">
        <f>+J170-'[2]Data FY23-24 Final'!J170</f>
        <v>0</v>
      </c>
      <c r="AI170" s="186">
        <f>+K170-'[2]Data FY23-24 Final'!K170</f>
        <v>0</v>
      </c>
      <c r="AJ170" s="186">
        <f>+L170-'[2]Data FY23-24 Final'!L170</f>
        <v>0</v>
      </c>
      <c r="AK170" s="186">
        <f>+M170-'[2]Data FY23-24 Final'!M170</f>
        <v>0</v>
      </c>
      <c r="AL170" s="186">
        <f>+N170-'[2]Data FY23-24 Final'!N170</f>
        <v>0</v>
      </c>
      <c r="AM170" s="186">
        <f>+O170-'[2]Data FY23-24 Final'!O170</f>
        <v>-10</v>
      </c>
      <c r="AN170" s="186">
        <f>+P170-'[2]Data FY23-24 Final'!P170</f>
        <v>4.8999470744502983E-2</v>
      </c>
      <c r="AO170" s="186">
        <f>+Q170-'[2]Data FY23-24 Final'!Q170</f>
        <v>-9.9510005292554951</v>
      </c>
      <c r="AP170" s="186">
        <f>+R170-'[2]Data FY23-24 Final'!R170</f>
        <v>-10</v>
      </c>
      <c r="AQ170" s="186">
        <f>+S170-'[2]Data FY23-24 Final'!S170</f>
        <v>0</v>
      </c>
      <c r="AR170" s="186">
        <f>+T170-'[2]Data FY23-24 Final'!T170</f>
        <v>0</v>
      </c>
      <c r="AS170" s="186">
        <f>+U170-'[2]Data FY23-24 Final'!U170</f>
        <v>0</v>
      </c>
      <c r="AT170" s="186">
        <f>+V170-'[2]Data FY23-24 Final'!V170</f>
        <v>0</v>
      </c>
      <c r="AU170" s="186">
        <f>+W170-'[2]Data FY23-24 Final'!W170</f>
        <v>-19.951000529255495</v>
      </c>
      <c r="AV170" s="186">
        <f>+X170-'[2]Data FY23-24 Final'!X170</f>
        <v>0</v>
      </c>
      <c r="AW170" s="161">
        <f>+Y170-'[2]Data FY23-24 Final'!Y170</f>
        <v>1970025.1800000072</v>
      </c>
      <c r="AX170" s="161">
        <f>+Z170-'[2]Data FY23-24 Final'!Z170</f>
        <v>-1035915.2542999685</v>
      </c>
    </row>
    <row r="171" spans="1:50" s="154" customFormat="1" ht="13" x14ac:dyDescent="0.3">
      <c r="A171" s="187" t="s">
        <v>445</v>
      </c>
      <c r="B171" s="187" t="s">
        <v>433</v>
      </c>
      <c r="C171" s="194" t="s">
        <v>446</v>
      </c>
      <c r="D171" s="349">
        <v>3156317580</v>
      </c>
      <c r="E171" s="349">
        <v>0</v>
      </c>
      <c r="F171" s="349">
        <v>3156317580</v>
      </c>
      <c r="G171" s="350">
        <v>546.14</v>
      </c>
      <c r="H171" s="357">
        <v>5.6239999999999997</v>
      </c>
      <c r="I171" s="357">
        <v>0</v>
      </c>
      <c r="J171" s="352">
        <f>+H171-K171-L171</f>
        <v>2.7510000000000003</v>
      </c>
      <c r="K171" s="353">
        <v>0.16699999999999998</v>
      </c>
      <c r="L171" s="354">
        <v>2.7059999999999995</v>
      </c>
      <c r="M171" s="185">
        <v>0</v>
      </c>
      <c r="N171" s="210">
        <v>0</v>
      </c>
      <c r="O171" s="316">
        <v>0.47199999999999998</v>
      </c>
      <c r="P171" s="211">
        <f t="shared" si="14"/>
        <v>1.7303075060019784E-4</v>
      </c>
      <c r="Q171" s="317">
        <f t="shared" si="15"/>
        <v>6.0961730307506006</v>
      </c>
      <c r="R171" s="196"/>
      <c r="S171" s="196"/>
      <c r="T171" s="196"/>
      <c r="U171" s="196"/>
      <c r="V171" s="196"/>
      <c r="W171" s="196">
        <f t="shared" si="16"/>
        <v>6.0961730307506006</v>
      </c>
      <c r="X171" s="185">
        <v>2.7509999999999999</v>
      </c>
      <c r="Y171" s="220">
        <v>12024206.550000001</v>
      </c>
      <c r="Z171" s="220">
        <v>0</v>
      </c>
      <c r="AB171" s="161">
        <f>+D171-'[2]Data FY23-24 Final'!D171</f>
        <v>-1019764550</v>
      </c>
      <c r="AC171" s="161">
        <f>+E171-'[2]Data FY23-24 Final'!E171</f>
        <v>0</v>
      </c>
      <c r="AD171" s="161">
        <f>+F171-'[2]Data FY23-24 Final'!F171</f>
        <v>-1019764550</v>
      </c>
      <c r="AE171" s="161">
        <f>+G171-'[2]Data FY23-24 Final'!G171</f>
        <v>-25028.31</v>
      </c>
      <c r="AF171" s="186">
        <f>+H171-'[2]Data FY23-24 Final'!H171</f>
        <v>0</v>
      </c>
      <c r="AG171" s="186">
        <f>+I171-'[2]Data FY23-24 Final'!I171</f>
        <v>0</v>
      </c>
      <c r="AH171" s="186">
        <f>+J171-'[2]Data FY23-24 Final'!J171</f>
        <v>-1.2999999999999456E-2</v>
      </c>
      <c r="AI171" s="186">
        <f>+K171-'[2]Data FY23-24 Final'!K171</f>
        <v>2.0999999999999991E-2</v>
      </c>
      <c r="AJ171" s="186">
        <f>+L171-'[2]Data FY23-24 Final'!L171</f>
        <v>-8.0000000000004512E-3</v>
      </c>
      <c r="AK171" s="186">
        <f>+M171-'[2]Data FY23-24 Final'!M171</f>
        <v>0</v>
      </c>
      <c r="AL171" s="186">
        <f>+N171-'[2]Data FY23-24 Final'!N171</f>
        <v>0</v>
      </c>
      <c r="AM171" s="186">
        <f>+O171-'[2]Data FY23-24 Final'!O171</f>
        <v>-0.22299999999999998</v>
      </c>
      <c r="AN171" s="186">
        <f>+P171-'[2]Data FY23-24 Final'!P171</f>
        <v>-5.8269692493998024E-3</v>
      </c>
      <c r="AO171" s="186">
        <f>+Q171-'[2]Data FY23-24 Final'!Q171</f>
        <v>-0.2288269692493996</v>
      </c>
      <c r="AP171" s="186">
        <f>+R171-'[2]Data FY23-24 Final'!R171</f>
        <v>-0.92400000000000004</v>
      </c>
      <c r="AQ171" s="186">
        <f>+S171-'[2]Data FY23-24 Final'!S171</f>
        <v>0</v>
      </c>
      <c r="AR171" s="186">
        <f>+T171-'[2]Data FY23-24 Final'!T171</f>
        <v>0</v>
      </c>
      <c r="AS171" s="186">
        <f>+U171-'[2]Data FY23-24 Final'!U171</f>
        <v>0</v>
      </c>
      <c r="AT171" s="186">
        <f>+V171-'[2]Data FY23-24 Final'!V171</f>
        <v>0</v>
      </c>
      <c r="AU171" s="186">
        <f>+W171-'[2]Data FY23-24 Final'!W171</f>
        <v>-1.1528269692493991</v>
      </c>
      <c r="AV171" s="186">
        <f>+X171-'[2]Data FY23-24 Final'!X171</f>
        <v>0</v>
      </c>
      <c r="AW171" s="161">
        <f>+Y171-'[2]Data FY23-24 Final'!Y171</f>
        <v>-107367.53999999911</v>
      </c>
      <c r="AX171" s="161">
        <f>+Z171-'[2]Data FY23-24 Final'!Z171</f>
        <v>-4.8099999548867345E-3</v>
      </c>
    </row>
    <row r="172" spans="1:50" s="154" customFormat="1" ht="13" x14ac:dyDescent="0.3">
      <c r="A172" s="187" t="s">
        <v>447</v>
      </c>
      <c r="B172" s="187" t="s">
        <v>433</v>
      </c>
      <c r="C172" s="194" t="s">
        <v>448</v>
      </c>
      <c r="D172" s="349">
        <v>1184592480</v>
      </c>
      <c r="E172" s="349">
        <v>34457668</v>
      </c>
      <c r="F172" s="349">
        <v>1150134812</v>
      </c>
      <c r="G172" s="350">
        <v>19112.27</v>
      </c>
      <c r="H172" s="348">
        <v>12.143000000000001</v>
      </c>
      <c r="I172" s="348">
        <v>0</v>
      </c>
      <c r="J172" s="210">
        <f>+H172-I172</f>
        <v>12.143000000000001</v>
      </c>
      <c r="K172" s="185">
        <v>0</v>
      </c>
      <c r="L172" s="197">
        <v>0</v>
      </c>
      <c r="M172" s="185">
        <v>0</v>
      </c>
      <c r="N172" s="210">
        <v>0</v>
      </c>
      <c r="O172" s="316">
        <v>1.526</v>
      </c>
      <c r="P172" s="211">
        <f t="shared" si="14"/>
        <v>1.6617417193698508E-2</v>
      </c>
      <c r="Q172" s="317">
        <f t="shared" si="15"/>
        <v>13.685617417193699</v>
      </c>
      <c r="R172" s="196"/>
      <c r="S172" s="196"/>
      <c r="T172" s="196"/>
      <c r="U172" s="196"/>
      <c r="V172" s="196"/>
      <c r="W172" s="196">
        <f t="shared" si="16"/>
        <v>13.685617417193699</v>
      </c>
      <c r="X172" s="185">
        <v>14.267999999999999</v>
      </c>
      <c r="Y172" s="220">
        <v>25771675.829999998</v>
      </c>
      <c r="Z172" s="220">
        <v>3725204.7287135804</v>
      </c>
      <c r="AB172" s="161">
        <f>+D172-'[2]Data FY23-24 Final'!D172</f>
        <v>-591072250</v>
      </c>
      <c r="AC172" s="161">
        <f>+E172-'[2]Data FY23-24 Final'!E172</f>
        <v>-12019813</v>
      </c>
      <c r="AD172" s="161">
        <f>+F172-'[2]Data FY23-24 Final'!F172</f>
        <v>-579052437</v>
      </c>
      <c r="AE172" s="161">
        <f>+G172-'[2]Data FY23-24 Final'!G172</f>
        <v>-652725.07999999996</v>
      </c>
      <c r="AF172" s="186">
        <f>+H172-'[2]Data FY23-24 Final'!H172</f>
        <v>0</v>
      </c>
      <c r="AG172" s="186">
        <f>+I172-'[2]Data FY23-24 Final'!I172</f>
        <v>0</v>
      </c>
      <c r="AH172" s="186">
        <f>+J172-'[2]Data FY23-24 Final'!J172</f>
        <v>0</v>
      </c>
      <c r="AI172" s="186">
        <f>+K172-'[2]Data FY23-24 Final'!K172</f>
        <v>0</v>
      </c>
      <c r="AJ172" s="186">
        <f>+L172-'[2]Data FY23-24 Final'!L172</f>
        <v>0</v>
      </c>
      <c r="AK172" s="186">
        <f>+M172-'[2]Data FY23-24 Final'!M172</f>
        <v>0</v>
      </c>
      <c r="AL172" s="186">
        <f>+N172-'[2]Data FY23-24 Final'!N172</f>
        <v>0</v>
      </c>
      <c r="AM172" s="186">
        <f>+O172-'[2]Data FY23-24 Final'!O172</f>
        <v>-2.0000000000000018E-2</v>
      </c>
      <c r="AN172" s="186">
        <f>+P172-'[2]Data FY23-24 Final'!P172</f>
        <v>-0.37238258280630149</v>
      </c>
      <c r="AO172" s="186">
        <f>+Q172-'[2]Data FY23-24 Final'!Q172</f>
        <v>-0.39238258280630056</v>
      </c>
      <c r="AP172" s="186">
        <f>+R172-'[2]Data FY23-24 Final'!R172</f>
        <v>-3.1190000000000002</v>
      </c>
      <c r="AQ172" s="186">
        <f>+S172-'[2]Data FY23-24 Final'!S172</f>
        <v>0</v>
      </c>
      <c r="AR172" s="186">
        <f>+T172-'[2]Data FY23-24 Final'!T172</f>
        <v>0</v>
      </c>
      <c r="AS172" s="186">
        <f>+U172-'[2]Data FY23-24 Final'!U172</f>
        <v>0</v>
      </c>
      <c r="AT172" s="186">
        <f>+V172-'[2]Data FY23-24 Final'!V172</f>
        <v>0</v>
      </c>
      <c r="AU172" s="186">
        <f>+W172-'[2]Data FY23-24 Final'!W172</f>
        <v>-3.5113825828063003</v>
      </c>
      <c r="AV172" s="186">
        <f>+X172-'[2]Data FY23-24 Final'!X172</f>
        <v>0</v>
      </c>
      <c r="AW172" s="161">
        <f>+Y172-'[2]Data FY23-24 Final'!Y172</f>
        <v>1248277.9399999976</v>
      </c>
      <c r="AX172" s="161">
        <f>+Z172-'[2]Data FY23-24 Final'!Z172</f>
        <v>908199.75332057709</v>
      </c>
    </row>
    <row r="173" spans="1:50" s="154" customFormat="1" ht="13" x14ac:dyDescent="0.3">
      <c r="A173" s="187" t="s">
        <v>449</v>
      </c>
      <c r="B173" s="187" t="s">
        <v>433</v>
      </c>
      <c r="C173" s="194" t="s">
        <v>450</v>
      </c>
      <c r="D173" s="349">
        <v>669648150</v>
      </c>
      <c r="E173" s="349">
        <v>0</v>
      </c>
      <c r="F173" s="349">
        <v>669648150</v>
      </c>
      <c r="G173" s="350">
        <v>2862.06</v>
      </c>
      <c r="H173" s="348">
        <v>27</v>
      </c>
      <c r="I173" s="348">
        <v>6.120000000000001</v>
      </c>
      <c r="J173" s="352">
        <f>+H173-I173-K173-L173</f>
        <v>19.222999999999999</v>
      </c>
      <c r="K173" s="353">
        <v>0.90399999999999991</v>
      </c>
      <c r="L173" s="354">
        <v>0.75299999999999878</v>
      </c>
      <c r="M173" s="185">
        <v>0</v>
      </c>
      <c r="N173" s="210">
        <v>0</v>
      </c>
      <c r="O173" s="316">
        <v>1.5399999999999998</v>
      </c>
      <c r="P173" s="211">
        <f t="shared" si="14"/>
        <v>4.2739758184951312E-3</v>
      </c>
      <c r="Q173" s="317">
        <f t="shared" si="15"/>
        <v>22.424273975818494</v>
      </c>
      <c r="R173" s="196"/>
      <c r="S173" s="196"/>
      <c r="T173" s="196"/>
      <c r="U173" s="196"/>
      <c r="V173" s="196"/>
      <c r="W173" s="196">
        <f t="shared" si="16"/>
        <v>22.424273975818494</v>
      </c>
      <c r="X173" s="185">
        <v>18.222999999999999</v>
      </c>
      <c r="Y173" s="220">
        <v>10961367.58</v>
      </c>
      <c r="Z173" s="220">
        <v>298.81121000007261</v>
      </c>
      <c r="AB173" s="161">
        <f>+D173-'[2]Data FY23-24 Final'!D173</f>
        <v>95292700</v>
      </c>
      <c r="AC173" s="161">
        <f>+E173-'[2]Data FY23-24 Final'!E173</f>
        <v>0</v>
      </c>
      <c r="AD173" s="161">
        <f>+F173-'[2]Data FY23-24 Final'!F173</f>
        <v>95292700</v>
      </c>
      <c r="AE173" s="161">
        <f>+G173-'[2]Data FY23-24 Final'!G173</f>
        <v>-885.94</v>
      </c>
      <c r="AF173" s="186">
        <f>+H173-'[2]Data FY23-24 Final'!H173</f>
        <v>0</v>
      </c>
      <c r="AG173" s="186">
        <f>+I173-'[2]Data FY23-24 Final'!I173</f>
        <v>-0.99999999999999911</v>
      </c>
      <c r="AH173" s="186">
        <f>+J173-'[2]Data FY23-24 Final'!J173</f>
        <v>0.90700000000000003</v>
      </c>
      <c r="AI173" s="186">
        <f>+K173-'[2]Data FY23-24 Final'!K173</f>
        <v>-0.14500000000000002</v>
      </c>
      <c r="AJ173" s="186">
        <f>+L173-'[2]Data FY23-24 Final'!L173</f>
        <v>0.23799999999999877</v>
      </c>
      <c r="AK173" s="186">
        <f>+M173-'[2]Data FY23-24 Final'!M173</f>
        <v>0</v>
      </c>
      <c r="AL173" s="186">
        <f>+N173-'[2]Data FY23-24 Final'!N173</f>
        <v>0</v>
      </c>
      <c r="AM173" s="186">
        <f>+O173-'[2]Data FY23-24 Final'!O173</f>
        <v>-2.7000000000000135E-2</v>
      </c>
      <c r="AN173" s="186">
        <f>+P173-'[2]Data FY23-24 Final'!P173</f>
        <v>-2.7260241815048689E-3</v>
      </c>
      <c r="AO173" s="186">
        <f>+Q173-'[2]Data FY23-24 Final'!Q173</f>
        <v>0.97027397581849328</v>
      </c>
      <c r="AP173" s="186">
        <f>+R173-'[2]Data FY23-24 Final'!R173</f>
        <v>-1.8280000000000001</v>
      </c>
      <c r="AQ173" s="186">
        <f>+S173-'[2]Data FY23-24 Final'!S173</f>
        <v>0</v>
      </c>
      <c r="AR173" s="186">
        <f>+T173-'[2]Data FY23-24 Final'!T173</f>
        <v>0</v>
      </c>
      <c r="AS173" s="186">
        <f>+U173-'[2]Data FY23-24 Final'!U173</f>
        <v>0</v>
      </c>
      <c r="AT173" s="186">
        <f>+V173-'[2]Data FY23-24 Final'!V173</f>
        <v>0</v>
      </c>
      <c r="AU173" s="186">
        <f>+W173-'[2]Data FY23-24 Final'!W173</f>
        <v>-0.85772602418150612</v>
      </c>
      <c r="AV173" s="186">
        <f>+X173-'[2]Data FY23-24 Final'!X173</f>
        <v>0</v>
      </c>
      <c r="AW173" s="161">
        <f>+Y173-'[2]Data FY23-24 Final'!Y173</f>
        <v>55734.919999999925</v>
      </c>
      <c r="AX173" s="161">
        <f>+Z173-'[2]Data FY23-24 Final'!Z173</f>
        <v>298.8079600011115</v>
      </c>
    </row>
    <row r="174" spans="1:50" s="154" customFormat="1" x14ac:dyDescent="0.25">
      <c r="A174" s="187" t="s">
        <v>451</v>
      </c>
      <c r="B174" s="187" t="s">
        <v>433</v>
      </c>
      <c r="C174" s="194" t="s">
        <v>452</v>
      </c>
      <c r="D174" s="220">
        <v>740997970</v>
      </c>
      <c r="E174" s="220">
        <v>0</v>
      </c>
      <c r="F174" s="220">
        <f t="shared" si="17"/>
        <v>740997970</v>
      </c>
      <c r="G174" s="221">
        <v>1667.56</v>
      </c>
      <c r="H174" s="357">
        <v>12.375999999999999</v>
      </c>
      <c r="I174" s="357">
        <v>0</v>
      </c>
      <c r="J174" s="352">
        <f>+H174-K174-L174</f>
        <v>4.1839999999999984</v>
      </c>
      <c r="K174" s="353">
        <v>0.19400000000000001</v>
      </c>
      <c r="L174" s="354">
        <v>7.9980000000000002</v>
      </c>
      <c r="M174" s="185">
        <v>0</v>
      </c>
      <c r="N174" s="210">
        <v>0</v>
      </c>
      <c r="O174" s="316">
        <v>0.67199999999999993</v>
      </c>
      <c r="P174" s="211">
        <f t="shared" si="14"/>
        <v>2.2504245187068457E-3</v>
      </c>
      <c r="Q174" s="317">
        <f t="shared" si="15"/>
        <v>13.050250424518705</v>
      </c>
      <c r="R174" s="196"/>
      <c r="S174" s="196"/>
      <c r="T174" s="196"/>
      <c r="U174" s="196"/>
      <c r="V174" s="196"/>
      <c r="W174" s="196">
        <f t="shared" si="16"/>
        <v>13.050250424518705</v>
      </c>
      <c r="X174" s="185">
        <v>4.1840000000000002</v>
      </c>
      <c r="Y174" s="220">
        <v>3193354.66</v>
      </c>
      <c r="Z174" s="220">
        <v>45.214720000163652</v>
      </c>
      <c r="AB174" s="161">
        <f>+D174-'[2]Data FY23-24 Final'!D174</f>
        <v>848795</v>
      </c>
      <c r="AC174" s="161">
        <f>+E174-'[2]Data FY23-24 Final'!E174</f>
        <v>0</v>
      </c>
      <c r="AD174" s="161">
        <f>+F174-'[2]Data FY23-24 Final'!F174</f>
        <v>848795</v>
      </c>
      <c r="AE174" s="161">
        <f>+G174-'[2]Data FY23-24 Final'!G174</f>
        <v>0</v>
      </c>
      <c r="AF174" s="186">
        <f>+H174-'[2]Data FY23-24 Final'!H174</f>
        <v>0</v>
      </c>
      <c r="AG174" s="186">
        <f>+I174-'[2]Data FY23-24 Final'!I174</f>
        <v>0</v>
      </c>
      <c r="AH174" s="186">
        <f>+J174-'[2]Data FY23-24 Final'!J174</f>
        <v>-5.4000000000002046E-2</v>
      </c>
      <c r="AI174" s="186">
        <f>+K174-'[2]Data FY23-24 Final'!K174</f>
        <v>7.5000000000000011E-2</v>
      </c>
      <c r="AJ174" s="186">
        <f>+L174-'[2]Data FY23-24 Final'!L174</f>
        <v>-2.0999999999999908E-2</v>
      </c>
      <c r="AK174" s="186">
        <f>+M174-'[2]Data FY23-24 Final'!M174</f>
        <v>0</v>
      </c>
      <c r="AL174" s="186">
        <f>+N174-'[2]Data FY23-24 Final'!N174</f>
        <v>0</v>
      </c>
      <c r="AM174" s="186">
        <f>+O174-'[2]Data FY23-24 Final'!O174</f>
        <v>-0.59899999999999998</v>
      </c>
      <c r="AN174" s="186">
        <f>+P174-'[2]Data FY23-24 Final'!P174</f>
        <v>2.2504245187068457E-3</v>
      </c>
      <c r="AO174" s="186">
        <f>+Q174-'[2]Data FY23-24 Final'!Q174</f>
        <v>-0.59674957548129548</v>
      </c>
      <c r="AP174" s="186">
        <f>+R174-'[2]Data FY23-24 Final'!R174</f>
        <v>-0.13600000000000001</v>
      </c>
      <c r="AQ174" s="186">
        <f>+S174-'[2]Data FY23-24 Final'!S174</f>
        <v>0</v>
      </c>
      <c r="AR174" s="186">
        <f>+T174-'[2]Data FY23-24 Final'!T174</f>
        <v>0</v>
      </c>
      <c r="AS174" s="186">
        <f>+U174-'[2]Data FY23-24 Final'!U174</f>
        <v>0</v>
      </c>
      <c r="AT174" s="186">
        <f>+V174-'[2]Data FY23-24 Final'!V174</f>
        <v>0</v>
      </c>
      <c r="AU174" s="186">
        <f>+W174-'[2]Data FY23-24 Final'!W174</f>
        <v>-0.73274957548129471</v>
      </c>
      <c r="AV174" s="186">
        <f>+X174-'[2]Data FY23-24 Final'!X174</f>
        <v>0</v>
      </c>
      <c r="AW174" s="161">
        <f>+Y174-'[2]Data FY23-24 Final'!Y174</f>
        <v>56305.680000000168</v>
      </c>
      <c r="AX174" s="161">
        <f>+Z174-'[2]Data FY23-24 Final'!Z174</f>
        <v>45.214720000163652</v>
      </c>
    </row>
    <row r="175" spans="1:50" s="154" customFormat="1" ht="13" x14ac:dyDescent="0.3">
      <c r="A175" s="187" t="s">
        <v>453</v>
      </c>
      <c r="B175" s="187" t="s">
        <v>433</v>
      </c>
      <c r="C175" s="194" t="s">
        <v>454</v>
      </c>
      <c r="D175" s="349">
        <v>536117010</v>
      </c>
      <c r="E175" s="349">
        <v>0</v>
      </c>
      <c r="F175" s="349">
        <v>536117010</v>
      </c>
      <c r="G175" s="350">
        <v>1025.06</v>
      </c>
      <c r="H175" s="348">
        <v>5.0679999999999996</v>
      </c>
      <c r="I175" s="348">
        <v>0</v>
      </c>
      <c r="J175" s="358">
        <f>+H175-I175</f>
        <v>5.0679999999999996</v>
      </c>
      <c r="K175" s="359">
        <v>-1E-3</v>
      </c>
      <c r="L175" s="360">
        <v>1E-3</v>
      </c>
      <c r="M175" s="185">
        <v>0</v>
      </c>
      <c r="N175" s="210">
        <v>0</v>
      </c>
      <c r="O175" s="316">
        <v>0.129</v>
      </c>
      <c r="P175" s="211">
        <f t="shared" si="14"/>
        <v>1.9120079775122225E-3</v>
      </c>
      <c r="Q175" s="317">
        <f t="shared" si="15"/>
        <v>5.1989120079775111</v>
      </c>
      <c r="R175" s="196"/>
      <c r="S175" s="196"/>
      <c r="T175" s="196"/>
      <c r="U175" s="196"/>
      <c r="V175" s="196"/>
      <c r="W175" s="196">
        <f t="shared" si="16"/>
        <v>5.1989120079775111</v>
      </c>
      <c r="X175" s="185">
        <v>5.5129999999999999</v>
      </c>
      <c r="Y175" s="220">
        <v>3268144.87</v>
      </c>
      <c r="Z175" s="220">
        <v>258227.80885353067</v>
      </c>
      <c r="AB175" s="161">
        <f>+D175-'[2]Data FY23-24 Final'!D175</f>
        <v>-43039100</v>
      </c>
      <c r="AC175" s="161">
        <f>+E175-'[2]Data FY23-24 Final'!E175</f>
        <v>0</v>
      </c>
      <c r="AD175" s="161">
        <f>+F175-'[2]Data FY23-24 Final'!F175</f>
        <v>-43039100</v>
      </c>
      <c r="AE175" s="161">
        <f>+G175-'[2]Data FY23-24 Final'!G175</f>
        <v>332.4</v>
      </c>
      <c r="AF175" s="186">
        <f>+H175-'[2]Data FY23-24 Final'!H175</f>
        <v>0</v>
      </c>
      <c r="AG175" s="186">
        <f>+I175-'[2]Data FY23-24 Final'!I175</f>
        <v>0</v>
      </c>
      <c r="AH175" s="186">
        <f>+J175-'[2]Data FY23-24 Final'!J175</f>
        <v>0</v>
      </c>
      <c r="AI175" s="186">
        <f>+K175-'[2]Data FY23-24 Final'!K175</f>
        <v>-1E-3</v>
      </c>
      <c r="AJ175" s="186">
        <f>+L175-'[2]Data FY23-24 Final'!L175</f>
        <v>1E-3</v>
      </c>
      <c r="AK175" s="186">
        <f>+M175-'[2]Data FY23-24 Final'!M175</f>
        <v>0</v>
      </c>
      <c r="AL175" s="186">
        <f>+N175-'[2]Data FY23-24 Final'!N175</f>
        <v>0</v>
      </c>
      <c r="AM175" s="186">
        <f>+O175-'[2]Data FY23-24 Final'!O175</f>
        <v>0</v>
      </c>
      <c r="AN175" s="186">
        <f>+P175-'[2]Data FY23-24 Final'!P175</f>
        <v>1.9120079775122225E-3</v>
      </c>
      <c r="AO175" s="186">
        <f>+Q175-'[2]Data FY23-24 Final'!Q175</f>
        <v>1.9120079775110099E-3</v>
      </c>
      <c r="AP175" s="186">
        <f>+R175-'[2]Data FY23-24 Final'!R175</f>
        <v>-0.433</v>
      </c>
      <c r="AQ175" s="186">
        <f>+S175-'[2]Data FY23-24 Final'!S175</f>
        <v>0</v>
      </c>
      <c r="AR175" s="186">
        <f>+T175-'[2]Data FY23-24 Final'!T175</f>
        <v>0</v>
      </c>
      <c r="AS175" s="186">
        <f>+U175-'[2]Data FY23-24 Final'!U175</f>
        <v>0</v>
      </c>
      <c r="AT175" s="186">
        <f>+V175-'[2]Data FY23-24 Final'!V175</f>
        <v>0</v>
      </c>
      <c r="AU175" s="186">
        <f>+W175-'[2]Data FY23-24 Final'!W175</f>
        <v>-0.43108799202248882</v>
      </c>
      <c r="AV175" s="186">
        <f>+X175-'[2]Data FY23-24 Final'!X175</f>
        <v>0</v>
      </c>
      <c r="AW175" s="161">
        <f>+Y175-'[2]Data FY23-24 Final'!Y175</f>
        <v>23402.610000000335</v>
      </c>
      <c r="AX175" s="161">
        <f>+Z175-'[2]Data FY23-24 Final'!Z175</f>
        <v>17326.574333530851</v>
      </c>
    </row>
    <row r="176" spans="1:50" s="154" customFormat="1" ht="13" x14ac:dyDescent="0.3">
      <c r="A176" s="187" t="s">
        <v>455</v>
      </c>
      <c r="B176" s="187" t="s">
        <v>433</v>
      </c>
      <c r="C176" s="194" t="s">
        <v>456</v>
      </c>
      <c r="D176" s="349">
        <v>562281430</v>
      </c>
      <c r="E176" s="349">
        <v>0</v>
      </c>
      <c r="F176" s="349">
        <v>562281430</v>
      </c>
      <c r="G176" s="350">
        <v>580.74</v>
      </c>
      <c r="H176" s="357">
        <v>4.2930000000000001</v>
      </c>
      <c r="I176" s="357">
        <v>0</v>
      </c>
      <c r="J176" s="352">
        <f>+H176-K176-L176</f>
        <v>2.1529999999999996</v>
      </c>
      <c r="K176" s="353">
        <v>0.12300000000000001</v>
      </c>
      <c r="L176" s="354">
        <v>2.0170000000000003</v>
      </c>
      <c r="M176" s="185">
        <v>0</v>
      </c>
      <c r="N176" s="210">
        <v>0</v>
      </c>
      <c r="O176" s="316">
        <v>0.22500000000000001</v>
      </c>
      <c r="P176" s="211">
        <f t="shared" si="14"/>
        <v>1.032827991491734E-3</v>
      </c>
      <c r="Q176" s="317">
        <f t="shared" si="15"/>
        <v>4.5190328279914915</v>
      </c>
      <c r="R176" s="196"/>
      <c r="S176" s="196"/>
      <c r="T176" s="196"/>
      <c r="U176" s="196"/>
      <c r="V176" s="196"/>
      <c r="W176" s="196">
        <f t="shared" si="16"/>
        <v>4.5190328279914915</v>
      </c>
      <c r="X176" s="185">
        <v>2.153</v>
      </c>
      <c r="Y176" s="220">
        <v>1330939.6599999999</v>
      </c>
      <c r="Z176" s="220">
        <v>436.75286430312553</v>
      </c>
      <c r="AB176" s="161">
        <f>+D176-'[2]Data FY23-24 Final'!D176</f>
        <v>-16993140</v>
      </c>
      <c r="AC176" s="161">
        <f>+E176-'[2]Data FY23-24 Final'!E176</f>
        <v>0</v>
      </c>
      <c r="AD176" s="161">
        <f>+F176-'[2]Data FY23-24 Final'!F176</f>
        <v>-16993140</v>
      </c>
      <c r="AE176" s="161">
        <f>+G176-'[2]Data FY23-24 Final'!G176</f>
        <v>420.82000000000005</v>
      </c>
      <c r="AF176" s="186">
        <f>+H176-'[2]Data FY23-24 Final'!H176</f>
        <v>0</v>
      </c>
      <c r="AG176" s="186">
        <f>+I176-'[2]Data FY23-24 Final'!I176</f>
        <v>0</v>
      </c>
      <c r="AH176" s="186">
        <f>+J176-'[2]Data FY23-24 Final'!J176</f>
        <v>-7.4000000000000288E-2</v>
      </c>
      <c r="AI176" s="186">
        <f>+K176-'[2]Data FY23-24 Final'!K176</f>
        <v>4.0000000000000174E-3</v>
      </c>
      <c r="AJ176" s="186">
        <f>+L176-'[2]Data FY23-24 Final'!L176</f>
        <v>7.0000000000000284E-2</v>
      </c>
      <c r="AK176" s="186">
        <f>+M176-'[2]Data FY23-24 Final'!M176</f>
        <v>0</v>
      </c>
      <c r="AL176" s="186">
        <f>+N176-'[2]Data FY23-24 Final'!N176</f>
        <v>0</v>
      </c>
      <c r="AM176" s="186">
        <f>+O176-'[2]Data FY23-24 Final'!O176</f>
        <v>-0.47399999999999998</v>
      </c>
      <c r="AN176" s="186">
        <f>+P176-'[2]Data FY23-24 Final'!P176</f>
        <v>1.032827991491734E-3</v>
      </c>
      <c r="AO176" s="186">
        <f>+Q176-'[2]Data FY23-24 Final'!Q176</f>
        <v>-0.47296717200850846</v>
      </c>
      <c r="AP176" s="186">
        <f>+R176-'[2]Data FY23-24 Final'!R176</f>
        <v>0</v>
      </c>
      <c r="AQ176" s="186">
        <f>+S176-'[2]Data FY23-24 Final'!S176</f>
        <v>0</v>
      </c>
      <c r="AR176" s="186">
        <f>+T176-'[2]Data FY23-24 Final'!T176</f>
        <v>0</v>
      </c>
      <c r="AS176" s="186">
        <f>+U176-'[2]Data FY23-24 Final'!U176</f>
        <v>0</v>
      </c>
      <c r="AT176" s="186">
        <f>+V176-'[2]Data FY23-24 Final'!V176</f>
        <v>0</v>
      </c>
      <c r="AU176" s="186">
        <f>+W176-'[2]Data FY23-24 Final'!W176</f>
        <v>-0.47296717200850846</v>
      </c>
      <c r="AV176" s="186">
        <f>+X176-'[2]Data FY23-24 Final'!X176</f>
        <v>0</v>
      </c>
      <c r="AW176" s="161">
        <f>+Y176-'[2]Data FY23-24 Final'!Y176</f>
        <v>-55906.479999999981</v>
      </c>
      <c r="AX176" s="161">
        <f>+Z176-'[2]Data FY23-24 Final'!Z176</f>
        <v>436.74998430337291</v>
      </c>
    </row>
    <row r="177" spans="1:50" s="154" customFormat="1" ht="13" x14ac:dyDescent="0.3">
      <c r="A177" s="187" t="s">
        <v>457</v>
      </c>
      <c r="B177" s="187" t="s">
        <v>458</v>
      </c>
      <c r="C177" s="194" t="s">
        <v>459</v>
      </c>
      <c r="D177" s="349">
        <v>1594743601</v>
      </c>
      <c r="E177" s="349">
        <v>0</v>
      </c>
      <c r="F177" s="349">
        <v>324838360</v>
      </c>
      <c r="G177" s="350">
        <v>71364.81</v>
      </c>
      <c r="H177" s="348">
        <v>27</v>
      </c>
      <c r="I177" s="348">
        <v>4.6550000000000011</v>
      </c>
      <c r="J177" s="210">
        <f>+H177-I177</f>
        <v>22.344999999999999</v>
      </c>
      <c r="K177" s="185">
        <v>0</v>
      </c>
      <c r="L177" s="197">
        <v>0</v>
      </c>
      <c r="M177" s="185">
        <v>0</v>
      </c>
      <c r="N177" s="210">
        <v>0</v>
      </c>
      <c r="O177" s="316">
        <v>7.0510000000000002</v>
      </c>
      <c r="P177" s="211">
        <f t="shared" si="14"/>
        <v>0.21969329607500787</v>
      </c>
      <c r="Q177" s="317">
        <f t="shared" si="15"/>
        <v>29.615693296075008</v>
      </c>
      <c r="R177" s="196"/>
      <c r="S177" s="196"/>
      <c r="T177" s="196"/>
      <c r="U177" s="196"/>
      <c r="V177" s="196"/>
      <c r="W177" s="196">
        <f t="shared" si="16"/>
        <v>29.615693296075008</v>
      </c>
      <c r="X177" s="185">
        <v>57.660999999999994</v>
      </c>
      <c r="Y177" s="220">
        <v>10010630.5</v>
      </c>
      <c r="Z177" s="220">
        <v>6149471.3257999998</v>
      </c>
      <c r="AB177" s="161">
        <f>+D177-'[2]Data FY23-24 Final'!D177</f>
        <v>1429848711</v>
      </c>
      <c r="AC177" s="161">
        <f>+E177-'[2]Data FY23-24 Final'!E177</f>
        <v>0</v>
      </c>
      <c r="AD177" s="161">
        <f>+F177-'[2]Data FY23-24 Final'!F177</f>
        <v>159943470</v>
      </c>
      <c r="AE177" s="161">
        <f>+G177-'[2]Data FY23-24 Final'!G177</f>
        <v>71364.81</v>
      </c>
      <c r="AF177" s="186">
        <f>+H177-'[2]Data FY23-24 Final'!H177</f>
        <v>0</v>
      </c>
      <c r="AG177" s="186">
        <f>+I177-'[2]Data FY23-24 Final'!I177</f>
        <v>4.6550000000000011</v>
      </c>
      <c r="AH177" s="186">
        <f>+J177-'[2]Data FY23-24 Final'!J177</f>
        <v>1</v>
      </c>
      <c r="AI177" s="186">
        <f>+K177-'[2]Data FY23-24 Final'!K177</f>
        <v>0</v>
      </c>
      <c r="AJ177" s="186">
        <f>+L177-'[2]Data FY23-24 Final'!L177</f>
        <v>0</v>
      </c>
      <c r="AK177" s="186">
        <f>+M177-'[2]Data FY23-24 Final'!M177</f>
        <v>0</v>
      </c>
      <c r="AL177" s="186">
        <f>+N177-'[2]Data FY23-24 Final'!N177</f>
        <v>0</v>
      </c>
      <c r="AM177" s="186">
        <f>+O177-'[2]Data FY23-24 Final'!O177</f>
        <v>-0.1899999999999995</v>
      </c>
      <c r="AN177" s="186">
        <f>+P177-'[2]Data FY23-24 Final'!P177</f>
        <v>0.21969329607500787</v>
      </c>
      <c r="AO177" s="186">
        <f>+Q177-'[2]Data FY23-24 Final'!Q177</f>
        <v>1.0296932960750098</v>
      </c>
      <c r="AP177" s="186">
        <f>+R177-'[2]Data FY23-24 Final'!R177</f>
        <v>-8.4819999999999993</v>
      </c>
      <c r="AQ177" s="186">
        <f>+S177-'[2]Data FY23-24 Final'!S177</f>
        <v>0</v>
      </c>
      <c r="AR177" s="186">
        <f>+T177-'[2]Data FY23-24 Final'!T177</f>
        <v>0</v>
      </c>
      <c r="AS177" s="186">
        <f>+U177-'[2]Data FY23-24 Final'!U177</f>
        <v>0</v>
      </c>
      <c r="AT177" s="186">
        <f>+V177-'[2]Data FY23-24 Final'!V177</f>
        <v>0</v>
      </c>
      <c r="AU177" s="186">
        <f>+W177-'[2]Data FY23-24 Final'!W177</f>
        <v>-7.4523067039249895</v>
      </c>
      <c r="AV177" s="186">
        <f>+X177-'[2]Data FY23-24 Final'!X177</f>
        <v>0</v>
      </c>
      <c r="AW177" s="161">
        <f>+Y177-'[2]Data FY23-24 Final'!Y177</f>
        <v>144197.0700000003</v>
      </c>
      <c r="AX177" s="161">
        <f>+Z177-'[2]Data FY23-24 Final'!Z177</f>
        <v>83074.852850000374</v>
      </c>
    </row>
    <row r="178" spans="1:50" ht="13" x14ac:dyDescent="0.3">
      <c r="A178" s="187" t="s">
        <v>460</v>
      </c>
      <c r="B178" s="187" t="s">
        <v>458</v>
      </c>
      <c r="C178" s="194" t="s">
        <v>461</v>
      </c>
      <c r="D178" s="349">
        <v>1594743601</v>
      </c>
      <c r="E178" s="349">
        <v>0</v>
      </c>
      <c r="F178" s="349">
        <v>324838360</v>
      </c>
      <c r="G178" s="350">
        <v>71364.81</v>
      </c>
      <c r="H178" s="348">
        <v>27</v>
      </c>
      <c r="I178" s="348">
        <v>7.968</v>
      </c>
      <c r="J178" s="210">
        <f>+H178-I178</f>
        <v>19.032</v>
      </c>
      <c r="K178" s="185">
        <v>0</v>
      </c>
      <c r="L178" s="197">
        <v>0</v>
      </c>
      <c r="M178" s="185">
        <v>0</v>
      </c>
      <c r="N178" s="210">
        <v>0</v>
      </c>
      <c r="O178" s="316">
        <v>2.786</v>
      </c>
      <c r="P178" s="211">
        <f t="shared" si="14"/>
        <v>0.21969329607500787</v>
      </c>
      <c r="Q178" s="317">
        <f t="shared" si="15"/>
        <v>22.037693296075009</v>
      </c>
      <c r="R178" s="196"/>
      <c r="S178" s="196"/>
      <c r="T178" s="196"/>
      <c r="U178" s="196"/>
      <c r="V178" s="196"/>
      <c r="W178" s="196">
        <f t="shared" si="16"/>
        <v>22.037693296075009</v>
      </c>
      <c r="X178" s="185">
        <v>54.578000000000003</v>
      </c>
      <c r="Y178" s="220">
        <v>8076351</v>
      </c>
      <c r="Z178" s="220">
        <v>5246775.0118800001</v>
      </c>
      <c r="AB178" s="161">
        <f>+D178-'[2]Data FY23-24 Final'!D178</f>
        <v>1455006921</v>
      </c>
      <c r="AC178" s="161">
        <f>+E178-'[2]Data FY23-24 Final'!E178</f>
        <v>0</v>
      </c>
      <c r="AD178" s="161">
        <f>+F178-'[2]Data FY23-24 Final'!F178</f>
        <v>185101680</v>
      </c>
      <c r="AE178" s="161">
        <f>+G178-'[2]Data FY23-24 Final'!G178</f>
        <v>71364.75</v>
      </c>
      <c r="AF178" s="186">
        <f>+H178-'[2]Data FY23-24 Final'!H178</f>
        <v>0</v>
      </c>
      <c r="AG178" s="186">
        <f>+I178-'[2]Data FY23-24 Final'!I178</f>
        <v>-1</v>
      </c>
      <c r="AH178" s="186">
        <f>+J178-'[2]Data FY23-24 Final'!J178</f>
        <v>1</v>
      </c>
      <c r="AI178" s="186">
        <f>+K178-'[2]Data FY23-24 Final'!K178</f>
        <v>0</v>
      </c>
      <c r="AJ178" s="186">
        <f>+L178-'[2]Data FY23-24 Final'!L178</f>
        <v>0</v>
      </c>
      <c r="AK178" s="186">
        <f>+M178-'[2]Data FY23-24 Final'!M178</f>
        <v>0</v>
      </c>
      <c r="AL178" s="186">
        <f>+N178-'[2]Data FY23-24 Final'!N178</f>
        <v>0</v>
      </c>
      <c r="AM178" s="186">
        <f>+O178-'[2]Data FY23-24 Final'!O178</f>
        <v>-8.7680000000000007</v>
      </c>
      <c r="AN178" s="186">
        <f>+P178-'[2]Data FY23-24 Final'!P178</f>
        <v>0.15569329607500787</v>
      </c>
      <c r="AO178" s="186">
        <f>+Q178-'[2]Data FY23-24 Final'!Q178</f>
        <v>-7.6123067039249896</v>
      </c>
      <c r="AP178" s="186">
        <f>+R178-'[2]Data FY23-24 Final'!R178</f>
        <v>-8.11</v>
      </c>
      <c r="AQ178" s="186">
        <f>+S178-'[2]Data FY23-24 Final'!S178</f>
        <v>0</v>
      </c>
      <c r="AR178" s="186">
        <f>+T178-'[2]Data FY23-24 Final'!T178</f>
        <v>0</v>
      </c>
      <c r="AS178" s="186">
        <f>+U178-'[2]Data FY23-24 Final'!U178</f>
        <v>0</v>
      </c>
      <c r="AT178" s="186">
        <f>+V178-'[2]Data FY23-24 Final'!V178</f>
        <v>0</v>
      </c>
      <c r="AU178" s="186">
        <f>+W178-'[2]Data FY23-24 Final'!W178</f>
        <v>-15.722306703924989</v>
      </c>
      <c r="AV178" s="186">
        <f>+X178-'[2]Data FY23-24 Final'!X178</f>
        <v>0</v>
      </c>
      <c r="AW178" s="161">
        <f>+Y178-'[2]Data FY23-24 Final'!Y178</f>
        <v>5494.4199999999255</v>
      </c>
      <c r="AX178" s="161">
        <f>+Z178-'[2]Data FY23-24 Final'!Z178</f>
        <v>-120522.08436000068</v>
      </c>
    </row>
    <row r="179" spans="1:50" x14ac:dyDescent="0.25">
      <c r="A179" s="187" t="s">
        <v>462</v>
      </c>
      <c r="B179" s="187" t="s">
        <v>458</v>
      </c>
      <c r="C179" s="194" t="s">
        <v>463</v>
      </c>
      <c r="D179" s="220">
        <v>20958957</v>
      </c>
      <c r="E179" s="220">
        <v>0</v>
      </c>
      <c r="F179" s="220">
        <f t="shared" si="17"/>
        <v>20958957</v>
      </c>
      <c r="G179" s="221">
        <v>6402.78</v>
      </c>
      <c r="H179" s="348">
        <v>27</v>
      </c>
      <c r="I179" s="348">
        <v>1.5019999999999989</v>
      </c>
      <c r="J179" s="210">
        <f>+H179-I179</f>
        <v>25.498000000000001</v>
      </c>
      <c r="K179" s="185">
        <v>0</v>
      </c>
      <c r="L179" s="197">
        <v>0</v>
      </c>
      <c r="M179" s="185">
        <v>0</v>
      </c>
      <c r="N179" s="210">
        <v>0</v>
      </c>
      <c r="O179" s="316">
        <v>0</v>
      </c>
      <c r="P179" s="211">
        <f t="shared" si="14"/>
        <v>0.30549134673066031</v>
      </c>
      <c r="Q179" s="317">
        <f t="shared" si="15"/>
        <v>25.803491346730663</v>
      </c>
      <c r="R179" s="196"/>
      <c r="S179" s="196"/>
      <c r="T179" s="196"/>
      <c r="U179" s="196"/>
      <c r="V179" s="196"/>
      <c r="W179" s="196">
        <f t="shared" si="16"/>
        <v>25.803491346730663</v>
      </c>
      <c r="X179" s="185">
        <v>149.54400000000001</v>
      </c>
      <c r="Y179" s="220">
        <v>3179506.48</v>
      </c>
      <c r="Z179" s="220">
        <v>2620835.0356140002</v>
      </c>
      <c r="AB179" s="161">
        <f>+D179-'[2]Data FY23-24 Final'!D179</f>
        <v>465202</v>
      </c>
      <c r="AC179" s="161">
        <f>+E179-'[2]Data FY23-24 Final'!E179</f>
        <v>0</v>
      </c>
      <c r="AD179" s="161">
        <f>+F179-'[2]Data FY23-24 Final'!F179</f>
        <v>465202</v>
      </c>
      <c r="AE179" s="161">
        <f>+G179-'[2]Data FY23-24 Final'!G179</f>
        <v>6402.78</v>
      </c>
      <c r="AF179" s="186">
        <f>+H179-'[2]Data FY23-24 Final'!H179</f>
        <v>0</v>
      </c>
      <c r="AG179" s="186">
        <f>+I179-'[2]Data FY23-24 Final'!I179</f>
        <v>-1.0000000000000009</v>
      </c>
      <c r="AH179" s="186">
        <f>+J179-'[2]Data FY23-24 Final'!J179</f>
        <v>1</v>
      </c>
      <c r="AI179" s="186">
        <f>+K179-'[2]Data FY23-24 Final'!K179</f>
        <v>0</v>
      </c>
      <c r="AJ179" s="186">
        <f>+L179-'[2]Data FY23-24 Final'!L179</f>
        <v>0</v>
      </c>
      <c r="AK179" s="186">
        <f>+M179-'[2]Data FY23-24 Final'!M179</f>
        <v>0</v>
      </c>
      <c r="AL179" s="186">
        <f>+N179-'[2]Data FY23-24 Final'!N179</f>
        <v>0</v>
      </c>
      <c r="AM179" s="186">
        <f>+O179-'[2]Data FY23-24 Final'!O179</f>
        <v>0</v>
      </c>
      <c r="AN179" s="186">
        <f>+P179-'[2]Data FY23-24 Final'!P179</f>
        <v>0.30549134673066031</v>
      </c>
      <c r="AO179" s="186">
        <f>+Q179-'[2]Data FY23-24 Final'!Q179</f>
        <v>1.3054913467306619</v>
      </c>
      <c r="AP179" s="186">
        <f>+R179-'[2]Data FY23-24 Final'!R179</f>
        <v>-13</v>
      </c>
      <c r="AQ179" s="186">
        <f>+S179-'[2]Data FY23-24 Final'!S179</f>
        <v>0</v>
      </c>
      <c r="AR179" s="186">
        <f>+T179-'[2]Data FY23-24 Final'!T179</f>
        <v>0</v>
      </c>
      <c r="AS179" s="186">
        <f>+U179-'[2]Data FY23-24 Final'!U179</f>
        <v>0</v>
      </c>
      <c r="AT179" s="186">
        <f>+V179-'[2]Data FY23-24 Final'!V179</f>
        <v>0</v>
      </c>
      <c r="AU179" s="186">
        <f>+W179-'[2]Data FY23-24 Final'!W179</f>
        <v>-11.694508653269335</v>
      </c>
      <c r="AV179" s="186">
        <f>+X179-'[2]Data FY23-24 Final'!X179</f>
        <v>0</v>
      </c>
      <c r="AW179" s="161">
        <f>+Y179-'[2]Data FY23-24 Final'!Y179</f>
        <v>73015.229999999981</v>
      </c>
      <c r="AX179" s="161">
        <f>+Z179-'[2]Data FY23-24 Final'!Z179</f>
        <v>62050.395604000427</v>
      </c>
    </row>
    <row r="180" spans="1:50" x14ac:dyDescent="0.25">
      <c r="A180" s="187" t="s">
        <v>464</v>
      </c>
      <c r="B180" s="187" t="s">
        <v>458</v>
      </c>
      <c r="C180" s="194" t="s">
        <v>465</v>
      </c>
      <c r="D180" s="220">
        <v>17072212</v>
      </c>
      <c r="E180" s="220">
        <v>0</v>
      </c>
      <c r="F180" s="220">
        <f t="shared" si="17"/>
        <v>17072212</v>
      </c>
      <c r="G180" s="221">
        <v>63.49</v>
      </c>
      <c r="H180" s="348">
        <v>27</v>
      </c>
      <c r="I180" s="348">
        <v>3.3249999999999993</v>
      </c>
      <c r="J180" s="210">
        <f>+H180-I180</f>
        <v>23.675000000000001</v>
      </c>
      <c r="K180" s="185">
        <v>0</v>
      </c>
      <c r="L180" s="197">
        <v>0</v>
      </c>
      <c r="M180" s="185">
        <v>0</v>
      </c>
      <c r="N180" s="210">
        <v>0</v>
      </c>
      <c r="O180" s="316">
        <v>17.125999999999998</v>
      </c>
      <c r="P180" s="211">
        <f t="shared" si="14"/>
        <v>3.7189088326691354E-3</v>
      </c>
      <c r="Q180" s="317">
        <f t="shared" si="15"/>
        <v>40.804718908832669</v>
      </c>
      <c r="R180" s="196"/>
      <c r="S180" s="196"/>
      <c r="T180" s="196"/>
      <c r="U180" s="196"/>
      <c r="V180" s="196"/>
      <c r="W180" s="196">
        <f t="shared" si="16"/>
        <v>40.804718908832669</v>
      </c>
      <c r="X180" s="185">
        <v>80.775000000000006</v>
      </c>
      <c r="Y180" s="220">
        <v>1417195.71</v>
      </c>
      <c r="Z180" s="220">
        <v>991901.45010000002</v>
      </c>
      <c r="AB180" s="161">
        <f>+D180-'[2]Data FY23-24 Final'!D180</f>
        <v>499951</v>
      </c>
      <c r="AC180" s="161">
        <f>+E180-'[2]Data FY23-24 Final'!E180</f>
        <v>0</v>
      </c>
      <c r="AD180" s="161">
        <f>+F180-'[2]Data FY23-24 Final'!F180</f>
        <v>499951</v>
      </c>
      <c r="AE180" s="161">
        <f>+G180-'[2]Data FY23-24 Final'!G180</f>
        <v>0</v>
      </c>
      <c r="AF180" s="186">
        <f>+H180-'[2]Data FY23-24 Final'!H180</f>
        <v>0</v>
      </c>
      <c r="AG180" s="186">
        <f>+I180-'[2]Data FY23-24 Final'!I180</f>
        <v>-1.0000000000000009</v>
      </c>
      <c r="AH180" s="186">
        <f>+J180-'[2]Data FY23-24 Final'!J180</f>
        <v>1</v>
      </c>
      <c r="AI180" s="186">
        <f>+K180-'[2]Data FY23-24 Final'!K180</f>
        <v>0</v>
      </c>
      <c r="AJ180" s="186">
        <f>+L180-'[2]Data FY23-24 Final'!L180</f>
        <v>0</v>
      </c>
      <c r="AK180" s="186">
        <f>+M180-'[2]Data FY23-24 Final'!M180</f>
        <v>0</v>
      </c>
      <c r="AL180" s="186">
        <f>+N180-'[2]Data FY23-24 Final'!N180</f>
        <v>0</v>
      </c>
      <c r="AM180" s="186">
        <f>+O180-'[2]Data FY23-24 Final'!O180</f>
        <v>-3.4000000000002473E-2</v>
      </c>
      <c r="AN180" s="186">
        <f>+P180-'[2]Data FY23-24 Final'!P180</f>
        <v>-2.8109116733086468E-4</v>
      </c>
      <c r="AO180" s="186">
        <f>+Q180-'[2]Data FY23-24 Final'!Q180</f>
        <v>0.96571890883267031</v>
      </c>
      <c r="AP180" s="186">
        <f>+R180-'[2]Data FY23-24 Final'!R180</f>
        <v>0</v>
      </c>
      <c r="AQ180" s="186">
        <f>+S180-'[2]Data FY23-24 Final'!S180</f>
        <v>0</v>
      </c>
      <c r="AR180" s="186">
        <f>+T180-'[2]Data FY23-24 Final'!T180</f>
        <v>0</v>
      </c>
      <c r="AS180" s="186">
        <f>+U180-'[2]Data FY23-24 Final'!U180</f>
        <v>0</v>
      </c>
      <c r="AT180" s="186">
        <f>+V180-'[2]Data FY23-24 Final'!V180</f>
        <v>0</v>
      </c>
      <c r="AU180" s="186">
        <f>+W180-'[2]Data FY23-24 Final'!W180</f>
        <v>0.96571890883267031</v>
      </c>
      <c r="AV180" s="186">
        <f>+X180-'[2]Data FY23-24 Final'!X180</f>
        <v>0</v>
      </c>
      <c r="AW180" s="161">
        <f>+Y180-'[2]Data FY23-24 Final'!Y180</f>
        <v>93164.889999999898</v>
      </c>
      <c r="AX180" s="161">
        <f>+Z180-'[2]Data FY23-24 Final'!Z180</f>
        <v>80508.848274999997</v>
      </c>
    </row>
    <row r="181" spans="1:50" x14ac:dyDescent="0.25">
      <c r="D181" s="220">
        <f>SUM(D3:D180)</f>
        <v>186448036477</v>
      </c>
      <c r="E181" s="220">
        <f>SUM(E3:E180)</f>
        <v>5715063012</v>
      </c>
      <c r="F181" s="220">
        <f>SUM(F3:F180)</f>
        <v>174664036417.45999</v>
      </c>
      <c r="G181" s="220">
        <f t="shared" ref="G181:AD181" si="20">SUM(G3:G180)</f>
        <v>44805394.425999999</v>
      </c>
      <c r="H181" s="185">
        <f t="shared" si="20"/>
        <v>4136.2529999999988</v>
      </c>
      <c r="I181" s="185">
        <v>4134.2529999999988</v>
      </c>
      <c r="J181" s="212">
        <f t="shared" si="20"/>
        <v>3830.273999999999</v>
      </c>
      <c r="K181" s="185">
        <f t="shared" si="20"/>
        <v>5.641</v>
      </c>
      <c r="L181" s="185">
        <f t="shared" si="20"/>
        <v>33.207000000000001</v>
      </c>
      <c r="M181" s="185">
        <f t="shared" si="20"/>
        <v>37.440999999999981</v>
      </c>
      <c r="N181" s="212">
        <f t="shared" si="20"/>
        <v>4.1000000000000002E-2</v>
      </c>
      <c r="O181" s="212">
        <f t="shared" si="20"/>
        <v>433.9190000000001</v>
      </c>
      <c r="P181" s="212">
        <f t="shared" si="20"/>
        <v>1077.5347238122515</v>
      </c>
      <c r="Q181" s="156">
        <f>SUM(Q3:Q180)</f>
        <v>5418.0577238122542</v>
      </c>
      <c r="R181" s="185">
        <f t="shared" si="20"/>
        <v>0</v>
      </c>
      <c r="S181" s="185">
        <f t="shared" si="20"/>
        <v>0</v>
      </c>
      <c r="T181" s="185">
        <f t="shared" si="20"/>
        <v>0</v>
      </c>
      <c r="U181" s="185">
        <f t="shared" si="20"/>
        <v>0</v>
      </c>
      <c r="V181" s="185">
        <f t="shared" si="20"/>
        <v>0</v>
      </c>
      <c r="W181" s="185">
        <f t="shared" si="20"/>
        <v>5418.0577238122542</v>
      </c>
      <c r="X181" s="195">
        <f t="shared" si="20"/>
        <v>14642.691000000001</v>
      </c>
      <c r="Y181" s="220">
        <f t="shared" si="20"/>
        <v>9245575920.5600014</v>
      </c>
      <c r="Z181" s="220">
        <f t="shared" si="20"/>
        <v>4873334995.7059946</v>
      </c>
      <c r="AA181" s="155">
        <f t="shared" si="20"/>
        <v>0</v>
      </c>
      <c r="AB181" s="155">
        <f t="shared" si="20"/>
        <v>-867623277</v>
      </c>
      <c r="AC181" s="155">
        <f t="shared" si="20"/>
        <v>-165259819</v>
      </c>
      <c r="AD181" s="155">
        <f t="shared" si="20"/>
        <v>-6771300505.54</v>
      </c>
    </row>
    <row r="182" spans="1:50" x14ac:dyDescent="0.25">
      <c r="C182" s="187" t="s">
        <v>614</v>
      </c>
      <c r="D182" s="220" t="e">
        <f>+#REF!</f>
        <v>#REF!</v>
      </c>
      <c r="E182" s="220" t="e">
        <f>-#REF!</f>
        <v>#REF!</v>
      </c>
      <c r="F182" s="220" t="e">
        <f>+#REF!</f>
        <v>#REF!</v>
      </c>
      <c r="G182" s="220" t="e">
        <f>+#REF!</f>
        <v>#REF!</v>
      </c>
      <c r="H182" s="185" t="e">
        <f>+#REF!</f>
        <v>#REF!</v>
      </c>
      <c r="I182" s="185" t="e">
        <v>#REF!</v>
      </c>
      <c r="J182" s="212" t="e">
        <f>+#REF!</f>
        <v>#REF!</v>
      </c>
      <c r="K182" s="185" t="e">
        <f>+#REF!</f>
        <v>#REF!</v>
      </c>
      <c r="L182" s="185" t="e">
        <f>+#REF!</f>
        <v>#REF!</v>
      </c>
      <c r="M182" s="185" t="e">
        <f>+#REF!</f>
        <v>#REF!</v>
      </c>
      <c r="N182" s="212" t="e">
        <f>+#REF!</f>
        <v>#REF!</v>
      </c>
      <c r="O182" s="212" t="e">
        <f>+#REF!</f>
        <v>#REF!</v>
      </c>
      <c r="P182" s="212" t="e">
        <f>+#REF!</f>
        <v>#REF!</v>
      </c>
      <c r="Q182" s="212" t="e">
        <f>+#REF!</f>
        <v>#REF!</v>
      </c>
      <c r="R182" s="185" t="e">
        <f>+#REF!</f>
        <v>#REF!</v>
      </c>
      <c r="S182" s="185" t="e">
        <f>+#REF!</f>
        <v>#REF!</v>
      </c>
      <c r="T182" s="185" t="e">
        <f>+#REF!</f>
        <v>#REF!</v>
      </c>
      <c r="U182" s="185" t="e">
        <f>+#REF!</f>
        <v>#REF!</v>
      </c>
      <c r="V182" s="185" t="e">
        <f>+#REF!</f>
        <v>#REF!</v>
      </c>
      <c r="W182" s="185" t="e">
        <f>+#REF!</f>
        <v>#REF!</v>
      </c>
      <c r="X182" s="185"/>
      <c r="AA182" s="156"/>
      <c r="AB182" s="156"/>
      <c r="AC182" s="156"/>
      <c r="AD182" s="156"/>
    </row>
    <row r="183" spans="1:50" x14ac:dyDescent="0.25">
      <c r="D183" s="361" t="e">
        <f t="shared" ref="D183:AD183" si="21">+D181-D182</f>
        <v>#REF!</v>
      </c>
      <c r="E183" s="220" t="e">
        <f t="shared" si="21"/>
        <v>#REF!</v>
      </c>
      <c r="F183" s="220" t="e">
        <f t="shared" si="21"/>
        <v>#REF!</v>
      </c>
      <c r="G183" s="361" t="e">
        <f t="shared" si="21"/>
        <v>#REF!</v>
      </c>
      <c r="H183" s="185" t="e">
        <f t="shared" si="21"/>
        <v>#REF!</v>
      </c>
      <c r="I183" s="185" t="e">
        <v>#REF!</v>
      </c>
      <c r="J183" s="212" t="e">
        <f t="shared" si="21"/>
        <v>#REF!</v>
      </c>
      <c r="K183" s="185" t="e">
        <f t="shared" si="21"/>
        <v>#REF!</v>
      </c>
      <c r="L183" s="185" t="e">
        <f t="shared" si="21"/>
        <v>#REF!</v>
      </c>
      <c r="M183" s="185" t="e">
        <f t="shared" si="21"/>
        <v>#REF!</v>
      </c>
      <c r="N183" s="212" t="e">
        <f t="shared" si="21"/>
        <v>#REF!</v>
      </c>
      <c r="O183" s="212" t="e">
        <f t="shared" si="21"/>
        <v>#REF!</v>
      </c>
      <c r="P183" s="212" t="e">
        <f t="shared" si="21"/>
        <v>#REF!</v>
      </c>
      <c r="Q183" s="212" t="e">
        <f t="shared" si="21"/>
        <v>#REF!</v>
      </c>
      <c r="R183" s="185" t="e">
        <f t="shared" si="21"/>
        <v>#REF!</v>
      </c>
      <c r="S183" s="185" t="e">
        <f t="shared" si="21"/>
        <v>#REF!</v>
      </c>
      <c r="T183" s="185" t="e">
        <f t="shared" si="21"/>
        <v>#REF!</v>
      </c>
      <c r="U183" s="185" t="e">
        <f t="shared" si="21"/>
        <v>#REF!</v>
      </c>
      <c r="V183" s="185" t="e">
        <f t="shared" si="21"/>
        <v>#REF!</v>
      </c>
      <c r="W183" s="185" t="e">
        <f t="shared" si="21"/>
        <v>#REF!</v>
      </c>
      <c r="X183" s="195">
        <f t="shared" si="21"/>
        <v>14642.691000000001</v>
      </c>
      <c r="Y183" s="220">
        <f t="shared" si="21"/>
        <v>9245575920.5600014</v>
      </c>
      <c r="Z183" s="220">
        <f t="shared" si="21"/>
        <v>4873334995.7059946</v>
      </c>
      <c r="AA183" s="155">
        <f t="shared" si="21"/>
        <v>0</v>
      </c>
      <c r="AB183" s="155">
        <f t="shared" si="21"/>
        <v>-867623277</v>
      </c>
      <c r="AC183" s="155">
        <f t="shared" si="21"/>
        <v>-165259819</v>
      </c>
      <c r="AD183" s="155">
        <f t="shared" si="21"/>
        <v>-6771300505.54</v>
      </c>
    </row>
    <row r="184" spans="1:50" s="158" customFormat="1" x14ac:dyDescent="0.25">
      <c r="A184" s="182"/>
      <c r="B184" s="182"/>
      <c r="C184" s="182"/>
      <c r="D184" s="220"/>
      <c r="E184" s="220"/>
      <c r="F184" s="220"/>
      <c r="G184" s="220"/>
      <c r="H184" s="196"/>
      <c r="I184" s="182"/>
      <c r="J184" s="214"/>
      <c r="K184" s="182"/>
      <c r="L184" s="182"/>
      <c r="M184" s="182"/>
      <c r="N184" s="214"/>
      <c r="O184" s="214"/>
      <c r="P184" s="214"/>
      <c r="Q184" s="214"/>
      <c r="R184" s="182"/>
      <c r="S184" s="182"/>
      <c r="T184" s="182"/>
      <c r="U184" s="182"/>
      <c r="V184" s="182"/>
      <c r="W184" s="182"/>
      <c r="X184" s="182"/>
      <c r="Y184" s="220"/>
      <c r="Z184" s="220"/>
      <c r="AA184" s="154"/>
    </row>
    <row r="186" spans="1:50" x14ac:dyDescent="0.25">
      <c r="A186" s="203"/>
      <c r="J186" s="214"/>
      <c r="K186" s="182"/>
      <c r="L186" s="182"/>
      <c r="M186" s="182"/>
      <c r="N186" s="214"/>
      <c r="O186" s="214"/>
      <c r="P186" s="214"/>
      <c r="Q186" s="214"/>
      <c r="R186" s="182"/>
      <c r="S186" s="182"/>
      <c r="T186" s="182"/>
      <c r="U186" s="182"/>
      <c r="V186" s="182"/>
      <c r="W186" s="182"/>
      <c r="X186" s="182"/>
    </row>
    <row r="187" spans="1:50" x14ac:dyDescent="0.25">
      <c r="H187" s="185"/>
      <c r="I187" s="362"/>
      <c r="J187" s="363"/>
      <c r="K187" s="353" t="s">
        <v>817</v>
      </c>
      <c r="L187" s="353"/>
      <c r="M187" s="353"/>
      <c r="N187" s="363"/>
      <c r="O187" s="363"/>
      <c r="P187" s="212"/>
      <c r="Q187" s="212"/>
      <c r="R187" s="185"/>
      <c r="S187" s="185"/>
      <c r="T187" s="185"/>
      <c r="U187" s="185"/>
      <c r="V187" s="185"/>
      <c r="W187" s="185"/>
      <c r="X187" s="195"/>
    </row>
    <row r="188" spans="1:50" x14ac:dyDescent="0.25">
      <c r="E188" s="364"/>
      <c r="H188" s="185"/>
      <c r="I188" s="362" t="s">
        <v>818</v>
      </c>
      <c r="J188" s="363"/>
      <c r="K188" s="353"/>
      <c r="L188" s="353"/>
      <c r="M188" s="353"/>
      <c r="N188" s="363"/>
      <c r="O188" s="363"/>
      <c r="P188" s="212"/>
      <c r="Q188" s="212"/>
      <c r="R188" s="185"/>
      <c r="S188" s="185"/>
      <c r="T188" s="185"/>
      <c r="U188" s="185"/>
      <c r="V188" s="185"/>
      <c r="W188" s="185"/>
      <c r="X188" s="195"/>
    </row>
    <row r="365" spans="4:26" x14ac:dyDescent="0.25">
      <c r="D365" s="220">
        <f>SUM(D187:D364)</f>
        <v>0</v>
      </c>
      <c r="E365" s="220">
        <f t="shared" ref="E365:N365" si="22">SUM(E187:E364)</f>
        <v>0</v>
      </c>
      <c r="F365" s="220">
        <f t="shared" si="22"/>
        <v>0</v>
      </c>
      <c r="G365" s="220">
        <f t="shared" si="22"/>
        <v>0</v>
      </c>
      <c r="H365" s="185">
        <f t="shared" si="22"/>
        <v>0</v>
      </c>
      <c r="I365" s="185">
        <f t="shared" si="22"/>
        <v>0</v>
      </c>
      <c r="J365" s="212">
        <f t="shared" si="22"/>
        <v>0</v>
      </c>
      <c r="K365" s="185">
        <f t="shared" si="22"/>
        <v>0</v>
      </c>
      <c r="L365" s="185">
        <f t="shared" si="22"/>
        <v>0</v>
      </c>
      <c r="M365" s="185">
        <f t="shared" si="22"/>
        <v>0</v>
      </c>
      <c r="N365" s="212">
        <f t="shared" si="22"/>
        <v>0</v>
      </c>
      <c r="O365" s="212"/>
      <c r="P365" s="212">
        <f>SUM(P187:P364)</f>
        <v>0</v>
      </c>
      <c r="Q365" s="212"/>
      <c r="R365" s="185">
        <f t="shared" ref="R365:Z365" si="23">SUM(R187:R364)</f>
        <v>0</v>
      </c>
      <c r="S365" s="185">
        <f t="shared" si="23"/>
        <v>0</v>
      </c>
      <c r="T365" s="185">
        <f t="shared" si="23"/>
        <v>0</v>
      </c>
      <c r="U365" s="185">
        <f t="shared" si="23"/>
        <v>0</v>
      </c>
      <c r="V365" s="185">
        <f t="shared" si="23"/>
        <v>0</v>
      </c>
      <c r="W365" s="185">
        <f t="shared" si="23"/>
        <v>0</v>
      </c>
      <c r="X365" s="195">
        <f t="shared" si="23"/>
        <v>0</v>
      </c>
      <c r="Y365" s="220">
        <f t="shared" si="23"/>
        <v>0</v>
      </c>
      <c r="Z365" s="220">
        <f t="shared" si="23"/>
        <v>0</v>
      </c>
    </row>
  </sheetData>
  <sheetProtection algorithmName="SHA-512" hashValue="vTB4U0P35DpDuK17RSjlOc+gE7Q+Bq6gqMtpPzaw0Iy91Al4OBzwKdtB+kUmpRhAGPW7rafHFYPAtYRE1ma3Jg==" saltValue="h62ETIt+XoMydA1gy/X84Q==" spinCount="100000" sheet="1" objects="1" scenarios="1"/>
  <autoFilter ref="A2:Z180" xr:uid="{00000000-0001-0000-0100-000000000000}"/>
  <conditionalFormatting sqref="AM1:AM1048576">
    <cfRule type="cellIs" dxfId="0" priority="1" operator="greater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25213-4BE5-4F82-9241-7035D076AAC1}">
  <dimension ref="A1:Z185"/>
  <sheetViews>
    <sheetView topLeftCell="P168" workbookViewId="0">
      <selection activeCell="E1" sqref="E1:E1048576"/>
    </sheetView>
  </sheetViews>
  <sheetFormatPr defaultRowHeight="12.5" x14ac:dyDescent="0.25"/>
  <cols>
    <col min="4" max="4" width="19.33203125" customWidth="1"/>
    <col min="5" max="5" width="21.75" customWidth="1"/>
    <col min="6" max="6" width="20.4140625" customWidth="1"/>
  </cols>
  <sheetData>
    <row r="1" spans="1:26"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row>
    <row r="2" spans="1:26" x14ac:dyDescent="0.25">
      <c r="A2" t="s">
        <v>73</v>
      </c>
      <c r="B2" t="s">
        <v>74</v>
      </c>
      <c r="C2" t="s">
        <v>75</v>
      </c>
      <c r="D2" t="s">
        <v>586</v>
      </c>
      <c r="E2" t="s">
        <v>587</v>
      </c>
      <c r="F2" t="s">
        <v>588</v>
      </c>
      <c r="G2" t="s">
        <v>589</v>
      </c>
      <c r="H2" t="s">
        <v>590</v>
      </c>
      <c r="I2" t="s">
        <v>591</v>
      </c>
      <c r="J2" t="s">
        <v>592</v>
      </c>
      <c r="K2" t="s">
        <v>593</v>
      </c>
      <c r="L2" t="s">
        <v>594</v>
      </c>
      <c r="M2" t="s">
        <v>595</v>
      </c>
      <c r="N2" t="s">
        <v>596</v>
      </c>
      <c r="O2" t="s">
        <v>597</v>
      </c>
      <c r="P2" t="s">
        <v>598</v>
      </c>
      <c r="Q2" t="s">
        <v>599</v>
      </c>
      <c r="R2" t="s">
        <v>600</v>
      </c>
      <c r="S2" t="s">
        <v>601</v>
      </c>
      <c r="T2" t="s">
        <v>602</v>
      </c>
      <c r="U2" t="s">
        <v>610</v>
      </c>
      <c r="V2" t="s">
        <v>604</v>
      </c>
      <c r="W2" t="s">
        <v>605</v>
      </c>
      <c r="X2" t="s">
        <v>606</v>
      </c>
      <c r="Y2" t="s">
        <v>607</v>
      </c>
      <c r="Z2" t="s">
        <v>608</v>
      </c>
    </row>
    <row r="3" spans="1:26" x14ac:dyDescent="0.25">
      <c r="A3" t="s">
        <v>76</v>
      </c>
      <c r="B3" t="s">
        <v>77</v>
      </c>
      <c r="C3" t="s">
        <v>78</v>
      </c>
      <c r="D3">
        <v>988197850</v>
      </c>
      <c r="E3">
        <v>-21510350</v>
      </c>
      <c r="F3">
        <v>966687500</v>
      </c>
      <c r="G3">
        <v>440727.54</v>
      </c>
      <c r="H3">
        <v>27</v>
      </c>
      <c r="I3">
        <v>0</v>
      </c>
      <c r="J3">
        <v>27</v>
      </c>
      <c r="K3">
        <v>0</v>
      </c>
      <c r="L3">
        <v>0</v>
      </c>
      <c r="M3">
        <v>0.221</v>
      </c>
      <c r="N3">
        <v>0</v>
      </c>
      <c r="O3">
        <v>17.244</v>
      </c>
      <c r="P3">
        <v>0.45800000000000002</v>
      </c>
      <c r="Q3">
        <v>44.923000000000002</v>
      </c>
      <c r="R3">
        <v>12.968999999999999</v>
      </c>
      <c r="S3">
        <v>0</v>
      </c>
      <c r="T3">
        <v>0</v>
      </c>
      <c r="U3">
        <v>0</v>
      </c>
      <c r="V3">
        <v>0</v>
      </c>
      <c r="W3">
        <v>44.923000000000002</v>
      </c>
      <c r="X3">
        <v>67.775000000000006</v>
      </c>
      <c r="Y3">
        <v>66719849.18</v>
      </c>
      <c r="Z3">
        <v>39374325</v>
      </c>
    </row>
    <row r="4" spans="1:26" x14ac:dyDescent="0.25">
      <c r="A4" t="s">
        <v>79</v>
      </c>
      <c r="B4" t="s">
        <v>77</v>
      </c>
      <c r="C4" t="s">
        <v>80</v>
      </c>
      <c r="D4">
        <v>3748717500</v>
      </c>
      <c r="E4">
        <v>-343754673</v>
      </c>
      <c r="F4">
        <v>3404962827</v>
      </c>
      <c r="G4">
        <v>1852293.91</v>
      </c>
      <c r="H4">
        <v>27</v>
      </c>
      <c r="I4">
        <v>0</v>
      </c>
      <c r="J4">
        <v>27</v>
      </c>
      <c r="K4">
        <v>0</v>
      </c>
      <c r="L4">
        <v>0</v>
      </c>
      <c r="M4">
        <v>0</v>
      </c>
      <c r="N4">
        <v>0</v>
      </c>
      <c r="O4">
        <v>19.157</v>
      </c>
      <c r="P4">
        <v>0.54400000000000004</v>
      </c>
      <c r="Q4">
        <v>46.700999999999993</v>
      </c>
      <c r="R4">
        <v>21.664999999999999</v>
      </c>
      <c r="S4">
        <v>0</v>
      </c>
      <c r="T4">
        <v>0</v>
      </c>
      <c r="U4">
        <v>0</v>
      </c>
      <c r="V4">
        <v>0</v>
      </c>
      <c r="W4">
        <v>46.700999999999993</v>
      </c>
      <c r="X4">
        <v>116.538</v>
      </c>
      <c r="Y4">
        <v>401052117.13</v>
      </c>
      <c r="Z4">
        <v>303976090</v>
      </c>
    </row>
    <row r="5" spans="1:26" x14ac:dyDescent="0.25">
      <c r="A5" t="s">
        <v>81</v>
      </c>
      <c r="B5" t="s">
        <v>77</v>
      </c>
      <c r="C5" t="s">
        <v>82</v>
      </c>
      <c r="D5">
        <v>993241240</v>
      </c>
      <c r="E5">
        <v>-7607100</v>
      </c>
      <c r="F5">
        <v>985634140</v>
      </c>
      <c r="G5">
        <v>112570.92</v>
      </c>
      <c r="H5">
        <v>27</v>
      </c>
      <c r="I5">
        <v>0.312</v>
      </c>
      <c r="J5">
        <v>26.687999999999999</v>
      </c>
      <c r="K5">
        <v>0</v>
      </c>
      <c r="L5">
        <v>0</v>
      </c>
      <c r="M5">
        <v>0</v>
      </c>
      <c r="N5">
        <v>0</v>
      </c>
      <c r="O5">
        <v>4.9610000000000003</v>
      </c>
      <c r="P5">
        <v>0.114</v>
      </c>
      <c r="Q5">
        <v>31.763000000000002</v>
      </c>
      <c r="R5">
        <v>6.2489999999999997</v>
      </c>
      <c r="S5">
        <v>0</v>
      </c>
      <c r="T5">
        <v>0</v>
      </c>
      <c r="U5">
        <v>0</v>
      </c>
      <c r="V5">
        <v>0</v>
      </c>
      <c r="W5">
        <v>31.763000000000002</v>
      </c>
      <c r="X5">
        <v>68.614999999999995</v>
      </c>
      <c r="Y5">
        <v>69147674.489999995</v>
      </c>
      <c r="Z5">
        <v>41374851</v>
      </c>
    </row>
    <row r="6" spans="1:26" x14ac:dyDescent="0.25">
      <c r="A6" t="s">
        <v>83</v>
      </c>
      <c r="B6" t="s">
        <v>77</v>
      </c>
      <c r="C6" t="s">
        <v>84</v>
      </c>
      <c r="D6">
        <v>2635889820</v>
      </c>
      <c r="E6">
        <v>-202264889</v>
      </c>
      <c r="F6">
        <v>2433624931</v>
      </c>
      <c r="G6">
        <v>544164.4</v>
      </c>
      <c r="H6">
        <v>27</v>
      </c>
      <c r="I6">
        <v>0</v>
      </c>
      <c r="J6">
        <v>27</v>
      </c>
      <c r="K6">
        <v>0</v>
      </c>
      <c r="L6">
        <v>0</v>
      </c>
      <c r="M6">
        <v>0</v>
      </c>
      <c r="N6">
        <v>0</v>
      </c>
      <c r="O6">
        <v>7.0149999999999997</v>
      </c>
      <c r="P6">
        <v>0.20599999999999999</v>
      </c>
      <c r="Q6">
        <v>34.221000000000004</v>
      </c>
      <c r="R6">
        <v>22.068999999999999</v>
      </c>
      <c r="S6">
        <v>0</v>
      </c>
      <c r="T6">
        <v>0</v>
      </c>
      <c r="U6">
        <v>0</v>
      </c>
      <c r="V6">
        <v>0</v>
      </c>
      <c r="W6">
        <v>34.221000000000004</v>
      </c>
      <c r="X6">
        <v>56.29</v>
      </c>
      <c r="Y6">
        <v>204651311.71000001</v>
      </c>
      <c r="Z6">
        <v>137823118</v>
      </c>
    </row>
    <row r="7" spans="1:26" x14ac:dyDescent="0.25">
      <c r="A7" t="s">
        <v>85</v>
      </c>
      <c r="B7" t="s">
        <v>77</v>
      </c>
      <c r="C7" t="s">
        <v>86</v>
      </c>
      <c r="D7">
        <v>311374658</v>
      </c>
      <c r="E7">
        <v>0</v>
      </c>
      <c r="F7">
        <v>311374658</v>
      </c>
      <c r="G7">
        <v>2768.77</v>
      </c>
      <c r="H7">
        <v>25.265000000000001</v>
      </c>
      <c r="I7">
        <v>0.98</v>
      </c>
      <c r="J7">
        <v>24.285</v>
      </c>
      <c r="K7">
        <v>0</v>
      </c>
      <c r="L7">
        <v>0</v>
      </c>
      <c r="M7">
        <v>0</v>
      </c>
      <c r="N7">
        <v>0</v>
      </c>
      <c r="O7">
        <v>0</v>
      </c>
      <c r="P7">
        <v>3.5999999999999997E-2</v>
      </c>
      <c r="Q7">
        <v>24.321000000000002</v>
      </c>
      <c r="R7">
        <v>0</v>
      </c>
      <c r="S7">
        <v>0</v>
      </c>
      <c r="T7">
        <v>0</v>
      </c>
      <c r="U7">
        <v>0</v>
      </c>
      <c r="V7">
        <v>0</v>
      </c>
      <c r="W7">
        <v>24.321000000000002</v>
      </c>
      <c r="X7">
        <v>41.570999999999998</v>
      </c>
      <c r="Y7">
        <v>13453195.119999999</v>
      </c>
      <c r="Z7">
        <v>5403073</v>
      </c>
    </row>
    <row r="8" spans="1:26" x14ac:dyDescent="0.25">
      <c r="A8" t="s">
        <v>87</v>
      </c>
      <c r="B8" t="s">
        <v>77</v>
      </c>
      <c r="C8" t="s">
        <v>88</v>
      </c>
      <c r="D8">
        <v>117484268</v>
      </c>
      <c r="E8">
        <v>0</v>
      </c>
      <c r="F8">
        <v>117484268</v>
      </c>
      <c r="G8">
        <v>5531.62</v>
      </c>
      <c r="H8">
        <v>27</v>
      </c>
      <c r="I8">
        <v>0</v>
      </c>
      <c r="J8">
        <v>27</v>
      </c>
      <c r="K8">
        <v>0</v>
      </c>
      <c r="L8">
        <v>0</v>
      </c>
      <c r="M8">
        <v>0</v>
      </c>
      <c r="N8">
        <v>0</v>
      </c>
      <c r="O8">
        <v>2.5529999999999999</v>
      </c>
      <c r="P8">
        <v>4.7E-2</v>
      </c>
      <c r="Q8">
        <v>29.6</v>
      </c>
      <c r="R8">
        <v>14.536</v>
      </c>
      <c r="S8">
        <v>0</v>
      </c>
      <c r="T8">
        <v>0</v>
      </c>
      <c r="U8">
        <v>0</v>
      </c>
      <c r="V8">
        <v>0</v>
      </c>
      <c r="W8">
        <v>29.6</v>
      </c>
      <c r="X8">
        <v>98.168000000000006</v>
      </c>
      <c r="Y8">
        <v>11696242</v>
      </c>
      <c r="Z8">
        <v>8360962</v>
      </c>
    </row>
    <row r="9" spans="1:26" x14ac:dyDescent="0.25">
      <c r="A9" t="s">
        <v>89</v>
      </c>
      <c r="B9" t="s">
        <v>77</v>
      </c>
      <c r="C9" t="s">
        <v>90</v>
      </c>
      <c r="D9">
        <v>924210570</v>
      </c>
      <c r="E9">
        <v>-2145680</v>
      </c>
      <c r="F9">
        <v>922064890</v>
      </c>
      <c r="G9">
        <v>296344.03000000003</v>
      </c>
      <c r="H9">
        <v>27</v>
      </c>
      <c r="I9">
        <v>0</v>
      </c>
      <c r="J9">
        <v>27</v>
      </c>
      <c r="K9">
        <v>0</v>
      </c>
      <c r="L9">
        <v>0</v>
      </c>
      <c r="M9">
        <v>0.56200000000000006</v>
      </c>
      <c r="N9">
        <v>0</v>
      </c>
      <c r="O9">
        <v>27.855</v>
      </c>
      <c r="P9">
        <v>0.317</v>
      </c>
      <c r="Q9">
        <v>55.734000000000002</v>
      </c>
      <c r="R9">
        <v>9.0429999999999993</v>
      </c>
      <c r="S9">
        <v>0</v>
      </c>
      <c r="T9">
        <v>0</v>
      </c>
      <c r="U9">
        <v>0</v>
      </c>
      <c r="V9">
        <v>0</v>
      </c>
      <c r="W9">
        <v>55.734000000000002</v>
      </c>
      <c r="X9">
        <v>103.68600000000001</v>
      </c>
      <c r="Y9">
        <v>97581917.879999995</v>
      </c>
      <c r="Z9">
        <v>70931604</v>
      </c>
    </row>
    <row r="10" spans="1:26" x14ac:dyDescent="0.25">
      <c r="A10" t="s">
        <v>91</v>
      </c>
      <c r="B10" t="s">
        <v>92</v>
      </c>
      <c r="C10" t="s">
        <v>92</v>
      </c>
      <c r="D10">
        <v>157290313</v>
      </c>
      <c r="E10">
        <v>0</v>
      </c>
      <c r="F10">
        <v>157290313</v>
      </c>
      <c r="G10">
        <v>44102</v>
      </c>
      <c r="H10">
        <v>27</v>
      </c>
      <c r="I10">
        <v>0</v>
      </c>
      <c r="J10">
        <v>27</v>
      </c>
      <c r="K10">
        <v>0</v>
      </c>
      <c r="L10">
        <v>0</v>
      </c>
      <c r="M10">
        <v>0</v>
      </c>
      <c r="N10">
        <v>0</v>
      </c>
      <c r="O10">
        <v>0</v>
      </c>
      <c r="P10">
        <v>0</v>
      </c>
      <c r="Q10">
        <v>27</v>
      </c>
      <c r="R10">
        <v>10.552</v>
      </c>
      <c r="S10">
        <v>0</v>
      </c>
      <c r="T10">
        <v>0</v>
      </c>
      <c r="U10">
        <v>0</v>
      </c>
      <c r="V10">
        <v>0</v>
      </c>
      <c r="W10">
        <v>27</v>
      </c>
      <c r="X10">
        <v>138.161</v>
      </c>
      <c r="Y10">
        <v>22222616.920000002</v>
      </c>
      <c r="Z10">
        <v>17484801</v>
      </c>
    </row>
    <row r="11" spans="1:26" x14ac:dyDescent="0.25">
      <c r="A11" t="s">
        <v>93</v>
      </c>
      <c r="B11" t="s">
        <v>92</v>
      </c>
      <c r="C11" t="s">
        <v>94</v>
      </c>
      <c r="D11">
        <v>45391101</v>
      </c>
      <c r="E11">
        <v>0</v>
      </c>
      <c r="F11">
        <v>45391101</v>
      </c>
      <c r="G11">
        <v>4.45</v>
      </c>
      <c r="H11">
        <v>27</v>
      </c>
      <c r="I11">
        <v>0</v>
      </c>
      <c r="J11">
        <v>27</v>
      </c>
      <c r="K11">
        <v>0</v>
      </c>
      <c r="L11">
        <v>0</v>
      </c>
      <c r="M11">
        <v>0</v>
      </c>
      <c r="N11">
        <v>0</v>
      </c>
      <c r="O11">
        <v>0</v>
      </c>
      <c r="P11">
        <v>0</v>
      </c>
      <c r="Q11">
        <v>27</v>
      </c>
      <c r="R11">
        <v>7.0140000000000002</v>
      </c>
      <c r="S11">
        <v>0</v>
      </c>
      <c r="T11">
        <v>0</v>
      </c>
      <c r="U11">
        <v>0</v>
      </c>
      <c r="V11">
        <v>0</v>
      </c>
      <c r="W11">
        <v>27</v>
      </c>
      <c r="X11">
        <v>76.399000000000001</v>
      </c>
      <c r="Y11">
        <v>3597400.33</v>
      </c>
      <c r="Z11">
        <v>2238885</v>
      </c>
    </row>
    <row r="12" spans="1:26" x14ac:dyDescent="0.25">
      <c r="A12" t="s">
        <v>95</v>
      </c>
      <c r="B12" t="s">
        <v>96</v>
      </c>
      <c r="C12" t="s">
        <v>97</v>
      </c>
      <c r="D12">
        <v>724799393</v>
      </c>
      <c r="E12">
        <v>-14383934</v>
      </c>
      <c r="F12">
        <v>710415459</v>
      </c>
      <c r="G12">
        <v>272628.63</v>
      </c>
      <c r="H12">
        <v>27</v>
      </c>
      <c r="I12">
        <v>3.105</v>
      </c>
      <c r="J12">
        <v>23.895</v>
      </c>
      <c r="K12">
        <v>0</v>
      </c>
      <c r="L12">
        <v>0</v>
      </c>
      <c r="M12">
        <v>0</v>
      </c>
      <c r="N12">
        <v>0</v>
      </c>
      <c r="O12">
        <v>8.6649999999999991</v>
      </c>
      <c r="P12">
        <v>0.38400000000000001</v>
      </c>
      <c r="Q12">
        <v>32.944000000000003</v>
      </c>
      <c r="R12">
        <v>16.131</v>
      </c>
      <c r="S12">
        <v>0</v>
      </c>
      <c r="T12">
        <v>0</v>
      </c>
      <c r="U12">
        <v>0</v>
      </c>
      <c r="V12">
        <v>0</v>
      </c>
      <c r="W12">
        <v>32.944000000000003</v>
      </c>
      <c r="X12">
        <v>33.036000000000001</v>
      </c>
      <c r="Y12">
        <v>24506954.100000001</v>
      </c>
      <c r="Z12">
        <v>6489647</v>
      </c>
    </row>
    <row r="13" spans="1:26" x14ac:dyDescent="0.25">
      <c r="A13" t="s">
        <v>98</v>
      </c>
      <c r="B13" t="s">
        <v>96</v>
      </c>
      <c r="C13" t="s">
        <v>99</v>
      </c>
      <c r="D13">
        <v>302572080</v>
      </c>
      <c r="E13">
        <v>-36236260</v>
      </c>
      <c r="F13">
        <v>266335820</v>
      </c>
      <c r="G13">
        <v>152498.75</v>
      </c>
      <c r="H13">
        <v>27</v>
      </c>
      <c r="I13">
        <v>4.0529999999999999</v>
      </c>
      <c r="J13">
        <v>22.946999999999999</v>
      </c>
      <c r="K13">
        <v>0</v>
      </c>
      <c r="L13">
        <v>0</v>
      </c>
      <c r="M13">
        <v>0</v>
      </c>
      <c r="N13">
        <v>0</v>
      </c>
      <c r="O13">
        <v>14.352</v>
      </c>
      <c r="P13">
        <v>0.57299999999999995</v>
      </c>
      <c r="Q13">
        <v>37.872</v>
      </c>
      <c r="R13">
        <v>5.609</v>
      </c>
      <c r="S13">
        <v>0</v>
      </c>
      <c r="T13">
        <v>0</v>
      </c>
      <c r="U13">
        <v>0</v>
      </c>
      <c r="V13">
        <v>0</v>
      </c>
      <c r="W13">
        <v>37.872</v>
      </c>
      <c r="X13">
        <v>50.747</v>
      </c>
      <c r="Y13">
        <v>13949492.859999999</v>
      </c>
      <c r="Z13">
        <v>7406516</v>
      </c>
    </row>
    <row r="14" spans="1:26" x14ac:dyDescent="0.25">
      <c r="A14" t="s">
        <v>100</v>
      </c>
      <c r="B14" t="s">
        <v>96</v>
      </c>
      <c r="C14" t="s">
        <v>101</v>
      </c>
      <c r="D14">
        <v>7528309112</v>
      </c>
      <c r="E14">
        <v>-57335318</v>
      </c>
      <c r="F14">
        <v>7470973794</v>
      </c>
      <c r="G14">
        <v>2511983.17</v>
      </c>
      <c r="H14">
        <v>18.756</v>
      </c>
      <c r="I14">
        <v>0</v>
      </c>
      <c r="J14">
        <v>18.756</v>
      </c>
      <c r="K14">
        <v>0</v>
      </c>
      <c r="L14">
        <v>0</v>
      </c>
      <c r="M14">
        <v>0.86399999999999999</v>
      </c>
      <c r="N14">
        <v>5.1999999999999998E-2</v>
      </c>
      <c r="O14">
        <v>16.806999999999999</v>
      </c>
      <c r="P14">
        <v>0.33600000000000002</v>
      </c>
      <c r="Q14">
        <v>36.814999999999998</v>
      </c>
      <c r="R14">
        <v>7.7759999999999998</v>
      </c>
      <c r="S14">
        <v>0</v>
      </c>
      <c r="T14">
        <v>0</v>
      </c>
      <c r="U14">
        <v>5.2720000000000002</v>
      </c>
      <c r="V14">
        <v>0</v>
      </c>
      <c r="W14">
        <v>42.086999999999996</v>
      </c>
      <c r="X14">
        <v>69.078999999999994</v>
      </c>
      <c r="Y14">
        <v>525649516</v>
      </c>
      <c r="Z14">
        <v>375792614</v>
      </c>
    </row>
    <row r="15" spans="1:26" x14ac:dyDescent="0.25">
      <c r="A15" t="s">
        <v>102</v>
      </c>
      <c r="B15" t="s">
        <v>96</v>
      </c>
      <c r="C15" t="s">
        <v>103</v>
      </c>
      <c r="D15">
        <v>2079912120</v>
      </c>
      <c r="E15">
        <v>-32495474</v>
      </c>
      <c r="F15">
        <v>2047416646</v>
      </c>
      <c r="G15">
        <v>447659.92</v>
      </c>
      <c r="H15">
        <v>27</v>
      </c>
      <c r="I15">
        <v>0</v>
      </c>
      <c r="J15">
        <v>27</v>
      </c>
      <c r="K15">
        <v>0</v>
      </c>
      <c r="L15">
        <v>0</v>
      </c>
      <c r="M15">
        <v>1.131</v>
      </c>
      <c r="N15">
        <v>0</v>
      </c>
      <c r="O15">
        <v>12.942</v>
      </c>
      <c r="P15">
        <v>0.219</v>
      </c>
      <c r="Q15">
        <v>41.292000000000002</v>
      </c>
      <c r="R15">
        <v>17.768999999999998</v>
      </c>
      <c r="S15">
        <v>0</v>
      </c>
      <c r="T15">
        <v>8</v>
      </c>
      <c r="U15">
        <v>0</v>
      </c>
      <c r="V15">
        <v>0</v>
      </c>
      <c r="W15">
        <v>49.292000000000002</v>
      </c>
      <c r="X15">
        <v>67.061000000000007</v>
      </c>
      <c r="Y15">
        <v>132061724.56</v>
      </c>
      <c r="Z15">
        <v>72526340</v>
      </c>
    </row>
    <row r="16" spans="1:26" x14ac:dyDescent="0.25">
      <c r="A16" t="s">
        <v>104</v>
      </c>
      <c r="B16" t="s">
        <v>96</v>
      </c>
      <c r="C16" t="s">
        <v>105</v>
      </c>
      <c r="D16">
        <v>53331043</v>
      </c>
      <c r="E16">
        <v>0</v>
      </c>
      <c r="F16">
        <v>53331043</v>
      </c>
      <c r="G16">
        <v>4327.3500000000004</v>
      </c>
      <c r="H16">
        <v>27</v>
      </c>
      <c r="I16">
        <v>0</v>
      </c>
      <c r="J16">
        <v>27</v>
      </c>
      <c r="K16">
        <v>0</v>
      </c>
      <c r="L16">
        <v>0</v>
      </c>
      <c r="M16">
        <v>0</v>
      </c>
      <c r="N16">
        <v>0</v>
      </c>
      <c r="O16">
        <v>0</v>
      </c>
      <c r="P16">
        <v>0</v>
      </c>
      <c r="Q16">
        <v>27</v>
      </c>
      <c r="R16">
        <v>9.7590000000000003</v>
      </c>
      <c r="S16">
        <v>0</v>
      </c>
      <c r="T16">
        <v>0</v>
      </c>
      <c r="U16">
        <v>0</v>
      </c>
      <c r="V16">
        <v>0</v>
      </c>
      <c r="W16">
        <v>27</v>
      </c>
      <c r="X16">
        <v>76.081000000000003</v>
      </c>
      <c r="Y16">
        <v>4148906.53</v>
      </c>
      <c r="Z16">
        <v>2617151</v>
      </c>
    </row>
    <row r="17" spans="1:26" x14ac:dyDescent="0.25">
      <c r="A17" t="s">
        <v>106</v>
      </c>
      <c r="B17" t="s">
        <v>96</v>
      </c>
      <c r="C17" t="s">
        <v>107</v>
      </c>
      <c r="D17">
        <v>4044346421</v>
      </c>
      <c r="E17">
        <v>-122911937</v>
      </c>
      <c r="F17">
        <v>3921434484</v>
      </c>
      <c r="G17">
        <v>2675539.11</v>
      </c>
      <c r="H17">
        <v>27</v>
      </c>
      <c r="I17">
        <v>0</v>
      </c>
      <c r="J17">
        <v>27</v>
      </c>
      <c r="K17">
        <v>0</v>
      </c>
      <c r="L17">
        <v>0</v>
      </c>
      <c r="M17">
        <v>0</v>
      </c>
      <c r="N17">
        <v>0</v>
      </c>
      <c r="O17">
        <v>27.164000000000001</v>
      </c>
      <c r="P17">
        <v>0.68200000000000005</v>
      </c>
      <c r="Q17">
        <v>54.846000000000004</v>
      </c>
      <c r="R17">
        <v>23</v>
      </c>
      <c r="S17">
        <v>0</v>
      </c>
      <c r="T17">
        <v>0</v>
      </c>
      <c r="U17">
        <v>0</v>
      </c>
      <c r="V17">
        <v>0</v>
      </c>
      <c r="W17">
        <v>54.846000000000004</v>
      </c>
      <c r="X17">
        <v>103.455</v>
      </c>
      <c r="Y17">
        <v>411488843.22000003</v>
      </c>
      <c r="Z17">
        <v>299747840</v>
      </c>
    </row>
    <row r="18" spans="1:26" x14ac:dyDescent="0.25">
      <c r="A18" t="s">
        <v>108</v>
      </c>
      <c r="B18" t="s">
        <v>96</v>
      </c>
      <c r="C18" t="s">
        <v>109</v>
      </c>
      <c r="D18">
        <v>64287681</v>
      </c>
      <c r="E18">
        <v>0</v>
      </c>
      <c r="F18">
        <v>64287681</v>
      </c>
      <c r="G18">
        <v>5437.51</v>
      </c>
      <c r="H18">
        <v>27</v>
      </c>
      <c r="I18">
        <v>1.091</v>
      </c>
      <c r="J18">
        <v>25.908999999999999</v>
      </c>
      <c r="K18">
        <v>0</v>
      </c>
      <c r="L18">
        <v>0</v>
      </c>
      <c r="M18">
        <v>0</v>
      </c>
      <c r="N18">
        <v>0</v>
      </c>
      <c r="O18">
        <v>3.734</v>
      </c>
      <c r="P18">
        <v>8.5000000000000006E-2</v>
      </c>
      <c r="Q18">
        <v>29.728000000000002</v>
      </c>
      <c r="R18">
        <v>0</v>
      </c>
      <c r="S18">
        <v>0</v>
      </c>
      <c r="T18">
        <v>0</v>
      </c>
      <c r="U18">
        <v>0</v>
      </c>
      <c r="V18">
        <v>0</v>
      </c>
      <c r="W18">
        <v>29.728000000000002</v>
      </c>
      <c r="X18">
        <v>716.10299999999995</v>
      </c>
      <c r="Y18">
        <v>46180103.68</v>
      </c>
      <c r="Z18">
        <v>44371041</v>
      </c>
    </row>
    <row r="19" spans="1:26" x14ac:dyDescent="0.25">
      <c r="A19" t="s">
        <v>110</v>
      </c>
      <c r="B19" t="s">
        <v>111</v>
      </c>
      <c r="C19" t="s">
        <v>111</v>
      </c>
      <c r="D19">
        <v>373811948</v>
      </c>
      <c r="E19">
        <v>0</v>
      </c>
      <c r="F19">
        <v>373811948</v>
      </c>
      <c r="G19">
        <v>34238.129999999997</v>
      </c>
      <c r="H19">
        <v>27</v>
      </c>
      <c r="I19">
        <v>3.9860000000000002</v>
      </c>
      <c r="J19">
        <v>23.013999999999999</v>
      </c>
      <c r="K19">
        <v>0</v>
      </c>
      <c r="L19">
        <v>0</v>
      </c>
      <c r="M19">
        <v>0</v>
      </c>
      <c r="N19">
        <v>0</v>
      </c>
      <c r="O19">
        <v>3.972</v>
      </c>
      <c r="P19">
        <v>9.1999999999999998E-2</v>
      </c>
      <c r="Q19">
        <v>27.077999999999999</v>
      </c>
      <c r="R19">
        <v>0</v>
      </c>
      <c r="S19">
        <v>0</v>
      </c>
      <c r="T19">
        <v>0</v>
      </c>
      <c r="U19">
        <v>0</v>
      </c>
      <c r="V19">
        <v>0</v>
      </c>
      <c r="W19">
        <v>27.077999999999999</v>
      </c>
      <c r="X19">
        <v>43.533999999999999</v>
      </c>
      <c r="Y19">
        <v>17107070.829999998</v>
      </c>
      <c r="Z19">
        <v>7677949</v>
      </c>
    </row>
    <row r="20" spans="1:26" x14ac:dyDescent="0.25">
      <c r="A20" t="s">
        <v>112</v>
      </c>
      <c r="B20" t="s">
        <v>113</v>
      </c>
      <c r="C20" t="s">
        <v>114</v>
      </c>
      <c r="D20">
        <v>29335716</v>
      </c>
      <c r="E20">
        <v>0</v>
      </c>
      <c r="F20">
        <v>29335716</v>
      </c>
      <c r="G20">
        <v>6</v>
      </c>
      <c r="H20">
        <v>27</v>
      </c>
      <c r="I20">
        <v>5.6989999999999998</v>
      </c>
      <c r="J20">
        <v>21.300999999999998</v>
      </c>
      <c r="K20">
        <v>0</v>
      </c>
      <c r="L20">
        <v>0</v>
      </c>
      <c r="M20">
        <v>0</v>
      </c>
      <c r="N20">
        <v>0</v>
      </c>
      <c r="O20">
        <v>6.0970000000000004</v>
      </c>
      <c r="P20">
        <v>0</v>
      </c>
      <c r="Q20">
        <v>27.398</v>
      </c>
      <c r="R20">
        <v>13.976000000000001</v>
      </c>
      <c r="S20">
        <v>0</v>
      </c>
      <c r="T20">
        <v>0</v>
      </c>
      <c r="U20">
        <v>0</v>
      </c>
      <c r="V20">
        <v>0</v>
      </c>
      <c r="W20">
        <v>27.398</v>
      </c>
      <c r="X20">
        <v>87.14</v>
      </c>
      <c r="Y20">
        <v>2617504.7400000002</v>
      </c>
      <c r="Z20">
        <v>1931280</v>
      </c>
    </row>
    <row r="21" spans="1:26" x14ac:dyDescent="0.25">
      <c r="A21" t="s">
        <v>115</v>
      </c>
      <c r="B21" t="s">
        <v>113</v>
      </c>
      <c r="C21" t="s">
        <v>116</v>
      </c>
      <c r="D21">
        <v>29603829</v>
      </c>
      <c r="E21">
        <v>0</v>
      </c>
      <c r="F21">
        <v>29603829</v>
      </c>
      <c r="G21">
        <v>10</v>
      </c>
      <c r="H21">
        <v>26.992000000000001</v>
      </c>
      <c r="I21">
        <v>6.1909999999999998</v>
      </c>
      <c r="J21">
        <v>20.800999999999998</v>
      </c>
      <c r="K21">
        <v>0</v>
      </c>
      <c r="L21">
        <v>0</v>
      </c>
      <c r="M21">
        <v>0</v>
      </c>
      <c r="N21">
        <v>0</v>
      </c>
      <c r="O21">
        <v>3.3780000000000001</v>
      </c>
      <c r="P21">
        <v>0</v>
      </c>
      <c r="Q21">
        <v>24.178999999999998</v>
      </c>
      <c r="R21">
        <v>0</v>
      </c>
      <c r="S21">
        <v>0</v>
      </c>
      <c r="T21">
        <v>0</v>
      </c>
      <c r="U21">
        <v>0</v>
      </c>
      <c r="V21">
        <v>0</v>
      </c>
      <c r="W21">
        <v>24.178999999999998</v>
      </c>
      <c r="X21">
        <v>40.923999999999999</v>
      </c>
      <c r="Y21">
        <v>1250283.8700000001</v>
      </c>
      <c r="Z21">
        <v>595687</v>
      </c>
    </row>
    <row r="22" spans="1:26" x14ac:dyDescent="0.25">
      <c r="A22" t="s">
        <v>117</v>
      </c>
      <c r="B22" t="s">
        <v>113</v>
      </c>
      <c r="C22" t="s">
        <v>118</v>
      </c>
      <c r="D22">
        <v>33970346</v>
      </c>
      <c r="E22">
        <v>0</v>
      </c>
      <c r="F22">
        <v>33970346</v>
      </c>
      <c r="G22">
        <v>0</v>
      </c>
      <c r="H22">
        <v>27</v>
      </c>
      <c r="I22">
        <v>0</v>
      </c>
      <c r="J22">
        <v>27</v>
      </c>
      <c r="K22">
        <v>0</v>
      </c>
      <c r="L22">
        <v>0</v>
      </c>
      <c r="M22">
        <v>0</v>
      </c>
      <c r="N22">
        <v>0</v>
      </c>
      <c r="O22">
        <v>0</v>
      </c>
      <c r="P22">
        <v>0</v>
      </c>
      <c r="Q22">
        <v>27</v>
      </c>
      <c r="R22">
        <v>13.837</v>
      </c>
      <c r="S22">
        <v>0</v>
      </c>
      <c r="T22">
        <v>0</v>
      </c>
      <c r="U22">
        <v>0</v>
      </c>
      <c r="V22">
        <v>0</v>
      </c>
      <c r="W22">
        <v>27</v>
      </c>
      <c r="X22">
        <v>102.235</v>
      </c>
      <c r="Y22">
        <v>3590952.05</v>
      </c>
      <c r="Z22">
        <v>2555554</v>
      </c>
    </row>
    <row r="23" spans="1:26" x14ac:dyDescent="0.25">
      <c r="A23" t="s">
        <v>119</v>
      </c>
      <c r="B23" t="s">
        <v>113</v>
      </c>
      <c r="C23" t="s">
        <v>120</v>
      </c>
      <c r="D23">
        <v>7203151</v>
      </c>
      <c r="E23">
        <v>0</v>
      </c>
      <c r="F23">
        <v>7203151</v>
      </c>
      <c r="G23">
        <v>52</v>
      </c>
      <c r="H23">
        <v>27</v>
      </c>
      <c r="I23">
        <v>0</v>
      </c>
      <c r="J23">
        <v>27</v>
      </c>
      <c r="K23">
        <v>0</v>
      </c>
      <c r="L23">
        <v>0</v>
      </c>
      <c r="M23">
        <v>0</v>
      </c>
      <c r="N23">
        <v>0</v>
      </c>
      <c r="O23">
        <v>0</v>
      </c>
      <c r="P23">
        <v>0</v>
      </c>
      <c r="Q23">
        <v>27</v>
      </c>
      <c r="R23">
        <v>0</v>
      </c>
      <c r="S23">
        <v>0</v>
      </c>
      <c r="T23">
        <v>0</v>
      </c>
      <c r="U23">
        <v>0</v>
      </c>
      <c r="V23">
        <v>0</v>
      </c>
      <c r="W23">
        <v>27</v>
      </c>
      <c r="X23">
        <v>359.71600000000001</v>
      </c>
      <c r="Y23">
        <v>2612680.69</v>
      </c>
      <c r="Z23">
        <v>2396372</v>
      </c>
    </row>
    <row r="24" spans="1:26" x14ac:dyDescent="0.25">
      <c r="A24" t="s">
        <v>121</v>
      </c>
      <c r="B24" t="s">
        <v>113</v>
      </c>
      <c r="C24" t="s">
        <v>122</v>
      </c>
      <c r="D24">
        <v>18451054</v>
      </c>
      <c r="E24">
        <v>0</v>
      </c>
      <c r="F24">
        <v>18451054</v>
      </c>
      <c r="G24">
        <v>0</v>
      </c>
      <c r="H24">
        <v>18.3</v>
      </c>
      <c r="I24">
        <v>5.5439999999999996</v>
      </c>
      <c r="J24">
        <v>12.756</v>
      </c>
      <c r="K24">
        <v>0</v>
      </c>
      <c r="L24">
        <v>0</v>
      </c>
      <c r="M24">
        <v>0</v>
      </c>
      <c r="N24">
        <v>0</v>
      </c>
      <c r="O24">
        <v>8.1300000000000008</v>
      </c>
      <c r="P24">
        <v>0</v>
      </c>
      <c r="Q24">
        <v>20.886000000000003</v>
      </c>
      <c r="R24">
        <v>0</v>
      </c>
      <c r="S24">
        <v>0</v>
      </c>
      <c r="T24">
        <v>0</v>
      </c>
      <c r="U24">
        <v>0</v>
      </c>
      <c r="V24">
        <v>0</v>
      </c>
      <c r="W24">
        <v>20.886000000000003</v>
      </c>
      <c r="X24">
        <v>52.936</v>
      </c>
      <c r="Y24">
        <v>997745.07</v>
      </c>
      <c r="Z24">
        <v>741315</v>
      </c>
    </row>
    <row r="25" spans="1:26" x14ac:dyDescent="0.25">
      <c r="A25" t="s">
        <v>123</v>
      </c>
      <c r="B25" t="s">
        <v>124</v>
      </c>
      <c r="C25" t="s">
        <v>125</v>
      </c>
      <c r="D25">
        <v>73819470</v>
      </c>
      <c r="E25">
        <v>0</v>
      </c>
      <c r="F25">
        <v>73819470</v>
      </c>
      <c r="G25">
        <v>2262.25</v>
      </c>
      <c r="H25">
        <v>27</v>
      </c>
      <c r="I25">
        <v>5.5019999999999998</v>
      </c>
      <c r="J25">
        <v>21.498000000000001</v>
      </c>
      <c r="K25">
        <v>0</v>
      </c>
      <c r="L25">
        <v>0</v>
      </c>
      <c r="M25">
        <v>0</v>
      </c>
      <c r="N25">
        <v>0</v>
      </c>
      <c r="O25">
        <v>0</v>
      </c>
      <c r="P25">
        <v>0</v>
      </c>
      <c r="Q25">
        <v>21.498000000000001</v>
      </c>
      <c r="R25">
        <v>0</v>
      </c>
      <c r="S25">
        <v>0</v>
      </c>
      <c r="T25">
        <v>0</v>
      </c>
      <c r="U25">
        <v>0</v>
      </c>
      <c r="V25">
        <v>0</v>
      </c>
      <c r="W25">
        <v>21.498000000000001</v>
      </c>
      <c r="X25">
        <v>109.122</v>
      </c>
      <c r="Y25">
        <v>8173158.6299999999</v>
      </c>
      <c r="Z25">
        <v>6468175</v>
      </c>
    </row>
    <row r="26" spans="1:26" x14ac:dyDescent="0.25">
      <c r="A26" t="s">
        <v>126</v>
      </c>
      <c r="B26" t="s">
        <v>124</v>
      </c>
      <c r="C26" t="s">
        <v>127</v>
      </c>
      <c r="D26">
        <v>26572970</v>
      </c>
      <c r="E26">
        <v>0</v>
      </c>
      <c r="F26">
        <v>26572970</v>
      </c>
      <c r="G26">
        <v>28353.33</v>
      </c>
      <c r="H26">
        <v>23.59</v>
      </c>
      <c r="I26">
        <v>2.6749999999999998</v>
      </c>
      <c r="J26">
        <v>20.914999999999999</v>
      </c>
      <c r="K26">
        <v>0</v>
      </c>
      <c r="L26">
        <v>0</v>
      </c>
      <c r="M26">
        <v>4.665</v>
      </c>
      <c r="N26">
        <v>0</v>
      </c>
      <c r="O26">
        <v>0</v>
      </c>
      <c r="P26">
        <v>0</v>
      </c>
      <c r="Q26">
        <v>25.58</v>
      </c>
      <c r="R26">
        <v>0</v>
      </c>
      <c r="S26">
        <v>0</v>
      </c>
      <c r="T26">
        <v>0</v>
      </c>
      <c r="U26">
        <v>0</v>
      </c>
      <c r="V26">
        <v>0</v>
      </c>
      <c r="W26">
        <v>25.58</v>
      </c>
      <c r="X26">
        <v>119.021</v>
      </c>
      <c r="Y26">
        <v>3261696.01</v>
      </c>
      <c r="Z26">
        <v>2645242</v>
      </c>
    </row>
    <row r="27" spans="1:26" x14ac:dyDescent="0.25">
      <c r="A27" t="s">
        <v>128</v>
      </c>
      <c r="B27" t="s">
        <v>129</v>
      </c>
      <c r="C27" t="s">
        <v>130</v>
      </c>
      <c r="D27">
        <v>5428112998</v>
      </c>
      <c r="E27">
        <v>-470302110</v>
      </c>
      <c r="F27">
        <v>4957810888</v>
      </c>
      <c r="G27">
        <v>1359370.85</v>
      </c>
      <c r="H27">
        <v>27</v>
      </c>
      <c r="I27">
        <v>5.0000000000000001E-3</v>
      </c>
      <c r="J27">
        <v>26.995000000000001</v>
      </c>
      <c r="K27">
        <v>0</v>
      </c>
      <c r="L27">
        <v>0</v>
      </c>
      <c r="M27">
        <v>0</v>
      </c>
      <c r="N27">
        <v>0</v>
      </c>
      <c r="O27">
        <v>13.59</v>
      </c>
      <c r="P27">
        <v>0.25</v>
      </c>
      <c r="Q27">
        <v>40.835000000000001</v>
      </c>
      <c r="R27">
        <v>17.55</v>
      </c>
      <c r="S27">
        <v>0</v>
      </c>
      <c r="T27">
        <v>0</v>
      </c>
      <c r="U27">
        <v>0</v>
      </c>
      <c r="V27">
        <v>0</v>
      </c>
      <c r="W27">
        <v>40.835000000000001</v>
      </c>
      <c r="X27">
        <v>60.265999999999998</v>
      </c>
      <c r="Y27">
        <v>304443239.94999999</v>
      </c>
      <c r="Z27">
        <v>153800340</v>
      </c>
    </row>
    <row r="28" spans="1:26" x14ac:dyDescent="0.25">
      <c r="A28" t="s">
        <v>131</v>
      </c>
      <c r="B28" t="s">
        <v>129</v>
      </c>
      <c r="C28" t="s">
        <v>129</v>
      </c>
      <c r="D28">
        <v>7896751257</v>
      </c>
      <c r="E28">
        <v>-104322672</v>
      </c>
      <c r="F28">
        <v>7792428585</v>
      </c>
      <c r="G28">
        <v>1385359.49</v>
      </c>
      <c r="H28">
        <v>27</v>
      </c>
      <c r="I28">
        <v>0</v>
      </c>
      <c r="J28">
        <v>27</v>
      </c>
      <c r="K28">
        <v>0</v>
      </c>
      <c r="L28">
        <v>0</v>
      </c>
      <c r="M28">
        <v>0</v>
      </c>
      <c r="N28">
        <v>0</v>
      </c>
      <c r="O28">
        <v>9.8049999999999997</v>
      </c>
      <c r="P28">
        <v>0.17799999999999999</v>
      </c>
      <c r="Q28">
        <v>36.982999999999997</v>
      </c>
      <c r="R28">
        <v>9.15</v>
      </c>
      <c r="S28">
        <v>0.93700000000000006</v>
      </c>
      <c r="T28">
        <v>0</v>
      </c>
      <c r="U28">
        <v>4</v>
      </c>
      <c r="V28">
        <v>0</v>
      </c>
      <c r="W28">
        <v>41.919999999999995</v>
      </c>
      <c r="X28">
        <v>34.835000000000001</v>
      </c>
      <c r="Y28">
        <v>283463415.39999998</v>
      </c>
      <c r="Z28">
        <v>61083444</v>
      </c>
    </row>
    <row r="29" spans="1:26" x14ac:dyDescent="0.25">
      <c r="A29" t="s">
        <v>132</v>
      </c>
      <c r="B29" t="s">
        <v>133</v>
      </c>
      <c r="C29" t="s">
        <v>134</v>
      </c>
      <c r="D29">
        <v>285376860</v>
      </c>
      <c r="E29">
        <v>0</v>
      </c>
      <c r="F29">
        <v>285376860</v>
      </c>
      <c r="G29">
        <v>10783.21</v>
      </c>
      <c r="H29">
        <v>23.149000000000001</v>
      </c>
      <c r="I29">
        <v>5.1669999999999998</v>
      </c>
      <c r="J29">
        <v>17.981999999999999</v>
      </c>
      <c r="K29">
        <v>0</v>
      </c>
      <c r="L29">
        <v>0</v>
      </c>
      <c r="M29">
        <v>0</v>
      </c>
      <c r="N29">
        <v>0</v>
      </c>
      <c r="O29">
        <v>9.31</v>
      </c>
      <c r="P29">
        <v>3.7999999999999999E-2</v>
      </c>
      <c r="Q29">
        <v>27.330000000000002</v>
      </c>
      <c r="R29">
        <v>8.6210000000000004</v>
      </c>
      <c r="S29">
        <v>0</v>
      </c>
      <c r="T29">
        <v>0</v>
      </c>
      <c r="U29">
        <v>0</v>
      </c>
      <c r="V29">
        <v>0</v>
      </c>
      <c r="W29">
        <v>27.330000000000002</v>
      </c>
      <c r="X29">
        <v>34.262</v>
      </c>
      <c r="Y29">
        <v>10241530.539999999</v>
      </c>
      <c r="Z29">
        <v>4635644</v>
      </c>
    </row>
    <row r="30" spans="1:26" x14ac:dyDescent="0.25">
      <c r="A30" t="s">
        <v>135</v>
      </c>
      <c r="B30" t="s">
        <v>133</v>
      </c>
      <c r="C30" t="s">
        <v>136</v>
      </c>
      <c r="D30">
        <v>347511598</v>
      </c>
      <c r="E30">
        <v>0</v>
      </c>
      <c r="F30">
        <v>347511598</v>
      </c>
      <c r="G30">
        <v>4842.53</v>
      </c>
      <c r="H30">
        <v>24.792999999999999</v>
      </c>
      <c r="I30">
        <v>8.1</v>
      </c>
      <c r="J30">
        <v>16.693000000000001</v>
      </c>
      <c r="K30">
        <v>0</v>
      </c>
      <c r="L30">
        <v>0</v>
      </c>
      <c r="M30">
        <v>0</v>
      </c>
      <c r="N30">
        <v>0</v>
      </c>
      <c r="O30">
        <v>6.7389999999999999</v>
      </c>
      <c r="P30">
        <v>1.4E-2</v>
      </c>
      <c r="Q30">
        <v>23.446000000000002</v>
      </c>
      <c r="R30">
        <v>5.6120000000000001</v>
      </c>
      <c r="S30">
        <v>0</v>
      </c>
      <c r="T30">
        <v>0</v>
      </c>
      <c r="U30">
        <v>0</v>
      </c>
      <c r="V30">
        <v>0</v>
      </c>
      <c r="W30">
        <v>23.446000000000002</v>
      </c>
      <c r="X30">
        <v>38.369999999999997</v>
      </c>
      <c r="Y30">
        <v>13914545.619999999</v>
      </c>
      <c r="Z30">
        <v>7546817</v>
      </c>
    </row>
    <row r="31" spans="1:26" x14ac:dyDescent="0.25">
      <c r="A31" t="s">
        <v>137</v>
      </c>
      <c r="B31" t="s">
        <v>138</v>
      </c>
      <c r="C31" t="s">
        <v>139</v>
      </c>
      <c r="D31">
        <v>48231050</v>
      </c>
      <c r="E31">
        <v>0</v>
      </c>
      <c r="F31">
        <v>48231050</v>
      </c>
      <c r="G31">
        <v>64.27</v>
      </c>
      <c r="H31">
        <v>17.88</v>
      </c>
      <c r="I31">
        <v>8.0660000000000007</v>
      </c>
      <c r="J31">
        <v>9.8140000000000001</v>
      </c>
      <c r="K31">
        <v>0</v>
      </c>
      <c r="L31">
        <v>0</v>
      </c>
      <c r="M31">
        <v>1.522</v>
      </c>
      <c r="N31">
        <v>0</v>
      </c>
      <c r="O31">
        <v>7.2569999999999997</v>
      </c>
      <c r="P31">
        <v>1E-3</v>
      </c>
      <c r="Q31">
        <v>18.594000000000001</v>
      </c>
      <c r="R31">
        <v>12.750999999999999</v>
      </c>
      <c r="S31">
        <v>0</v>
      </c>
      <c r="T31">
        <v>0</v>
      </c>
      <c r="U31">
        <v>0</v>
      </c>
      <c r="V31">
        <v>0</v>
      </c>
      <c r="W31">
        <v>18.594000000000001</v>
      </c>
      <c r="X31">
        <v>36.933</v>
      </c>
      <c r="Y31">
        <v>1831391.78</v>
      </c>
      <c r="Z31">
        <v>1308383</v>
      </c>
    </row>
    <row r="32" spans="1:26" x14ac:dyDescent="0.25">
      <c r="A32" t="s">
        <v>140</v>
      </c>
      <c r="B32" t="s">
        <v>138</v>
      </c>
      <c r="C32" t="s">
        <v>138</v>
      </c>
      <c r="D32">
        <v>94259412</v>
      </c>
      <c r="E32">
        <v>0</v>
      </c>
      <c r="F32">
        <v>94259412</v>
      </c>
      <c r="G32">
        <v>1901.81</v>
      </c>
      <c r="H32">
        <v>15.558</v>
      </c>
      <c r="I32">
        <v>6.8840000000000003</v>
      </c>
      <c r="J32">
        <v>8.6739999999999995</v>
      </c>
      <c r="K32">
        <v>0</v>
      </c>
      <c r="L32">
        <v>0</v>
      </c>
      <c r="M32">
        <v>0</v>
      </c>
      <c r="N32">
        <v>0</v>
      </c>
      <c r="O32">
        <v>8.4120000000000008</v>
      </c>
      <c r="P32">
        <v>0</v>
      </c>
      <c r="Q32">
        <v>17.085999999999999</v>
      </c>
      <c r="R32">
        <v>0</v>
      </c>
      <c r="S32">
        <v>0</v>
      </c>
      <c r="T32">
        <v>0</v>
      </c>
      <c r="U32">
        <v>0</v>
      </c>
      <c r="V32">
        <v>0</v>
      </c>
      <c r="W32">
        <v>17.085999999999999</v>
      </c>
      <c r="X32">
        <v>30.532</v>
      </c>
      <c r="Y32">
        <v>2944026.54</v>
      </c>
      <c r="Z32">
        <v>2061700</v>
      </c>
    </row>
    <row r="33" spans="1:26" x14ac:dyDescent="0.25">
      <c r="A33" t="s">
        <v>141</v>
      </c>
      <c r="B33" t="s">
        <v>142</v>
      </c>
      <c r="C33" t="s">
        <v>142</v>
      </c>
      <c r="D33">
        <v>311995840</v>
      </c>
      <c r="E33">
        <v>0</v>
      </c>
      <c r="F33">
        <v>311995840</v>
      </c>
      <c r="G33">
        <v>10685.38</v>
      </c>
      <c r="H33">
        <v>12.484999999999999</v>
      </c>
      <c r="I33">
        <v>0</v>
      </c>
      <c r="J33">
        <v>12.484999999999999</v>
      </c>
      <c r="K33">
        <v>0</v>
      </c>
      <c r="L33">
        <v>0</v>
      </c>
      <c r="M33">
        <v>0</v>
      </c>
      <c r="N33">
        <v>0</v>
      </c>
      <c r="O33">
        <v>8.8539999999999992</v>
      </c>
      <c r="P33">
        <v>3.4000000000000002E-2</v>
      </c>
      <c r="Q33">
        <v>21.372999999999998</v>
      </c>
      <c r="R33">
        <v>8.23</v>
      </c>
      <c r="S33">
        <v>0</v>
      </c>
      <c r="T33">
        <v>0</v>
      </c>
      <c r="U33">
        <v>0</v>
      </c>
      <c r="V33">
        <v>0</v>
      </c>
      <c r="W33">
        <v>21.372999999999998</v>
      </c>
      <c r="X33">
        <v>22.085000000000001</v>
      </c>
      <c r="Y33">
        <v>7255852.0599999996</v>
      </c>
      <c r="Z33">
        <v>2996840</v>
      </c>
    </row>
    <row r="34" spans="1:26" x14ac:dyDescent="0.25">
      <c r="A34" t="s">
        <v>143</v>
      </c>
      <c r="B34" t="s">
        <v>144</v>
      </c>
      <c r="C34" t="s">
        <v>145</v>
      </c>
      <c r="D34">
        <v>39778042</v>
      </c>
      <c r="E34">
        <v>0</v>
      </c>
      <c r="F34">
        <v>39778042</v>
      </c>
      <c r="G34">
        <v>2418</v>
      </c>
      <c r="H34">
        <v>23.405999999999999</v>
      </c>
      <c r="I34">
        <v>4.2830000000000004</v>
      </c>
      <c r="J34">
        <v>19.123000000000001</v>
      </c>
      <c r="K34">
        <v>0</v>
      </c>
      <c r="L34">
        <v>0</v>
      </c>
      <c r="M34">
        <v>4.7729999999999997</v>
      </c>
      <c r="N34">
        <v>0</v>
      </c>
      <c r="O34">
        <v>0</v>
      </c>
      <c r="P34">
        <v>6.0999999999999999E-2</v>
      </c>
      <c r="Q34">
        <v>23.957000000000001</v>
      </c>
      <c r="R34">
        <v>10.055999999999999</v>
      </c>
      <c r="S34">
        <v>0</v>
      </c>
      <c r="T34">
        <v>0</v>
      </c>
      <c r="U34">
        <v>0</v>
      </c>
      <c r="V34">
        <v>0</v>
      </c>
      <c r="W34">
        <v>23.957000000000001</v>
      </c>
      <c r="X34">
        <v>258.99299999999999</v>
      </c>
      <c r="Y34">
        <v>10474934.390000001</v>
      </c>
      <c r="Z34">
        <v>9564413</v>
      </c>
    </row>
    <row r="35" spans="1:26" x14ac:dyDescent="0.25">
      <c r="A35" t="s">
        <v>146</v>
      </c>
      <c r="B35" t="s">
        <v>144</v>
      </c>
      <c r="C35" t="s">
        <v>147</v>
      </c>
      <c r="D35">
        <v>10758151</v>
      </c>
      <c r="E35">
        <v>0</v>
      </c>
      <c r="F35">
        <v>10758151</v>
      </c>
      <c r="G35">
        <v>729</v>
      </c>
      <c r="H35">
        <v>27</v>
      </c>
      <c r="I35">
        <v>0</v>
      </c>
      <c r="J35">
        <v>27</v>
      </c>
      <c r="K35">
        <v>0</v>
      </c>
      <c r="L35">
        <v>0</v>
      </c>
      <c r="M35">
        <v>0</v>
      </c>
      <c r="N35">
        <v>0</v>
      </c>
      <c r="O35">
        <v>0</v>
      </c>
      <c r="P35">
        <v>6.8000000000000005E-2</v>
      </c>
      <c r="Q35">
        <v>27.068000000000001</v>
      </c>
      <c r="R35">
        <v>8.2469999999999999</v>
      </c>
      <c r="S35">
        <v>0</v>
      </c>
      <c r="T35">
        <v>0</v>
      </c>
      <c r="U35">
        <v>0</v>
      </c>
      <c r="V35">
        <v>0</v>
      </c>
      <c r="W35">
        <v>27.068000000000001</v>
      </c>
      <c r="X35">
        <v>403.23899999999998</v>
      </c>
      <c r="Y35">
        <v>4387940.42</v>
      </c>
      <c r="Z35">
        <v>4048593</v>
      </c>
    </row>
    <row r="36" spans="1:26" x14ac:dyDescent="0.25">
      <c r="A36" t="s">
        <v>148</v>
      </c>
      <c r="B36" t="s">
        <v>144</v>
      </c>
      <c r="C36" t="s">
        <v>149</v>
      </c>
      <c r="D36">
        <v>34514743</v>
      </c>
      <c r="E36">
        <v>0</v>
      </c>
      <c r="F36">
        <v>34514743</v>
      </c>
      <c r="G36">
        <v>2093</v>
      </c>
      <c r="H36">
        <v>27</v>
      </c>
      <c r="I36">
        <v>6.2119999999999997</v>
      </c>
      <c r="J36">
        <v>20.788</v>
      </c>
      <c r="K36">
        <v>0</v>
      </c>
      <c r="L36">
        <v>0</v>
      </c>
      <c r="M36">
        <v>0</v>
      </c>
      <c r="N36">
        <v>0</v>
      </c>
      <c r="O36">
        <v>0</v>
      </c>
      <c r="P36">
        <v>6.0999999999999999E-2</v>
      </c>
      <c r="Q36">
        <v>20.849</v>
      </c>
      <c r="R36">
        <v>15.066000000000001</v>
      </c>
      <c r="S36">
        <v>0</v>
      </c>
      <c r="T36">
        <v>0</v>
      </c>
      <c r="U36">
        <v>0</v>
      </c>
      <c r="V36">
        <v>0</v>
      </c>
      <c r="W36">
        <v>20.849</v>
      </c>
      <c r="X36">
        <v>76.334000000000003</v>
      </c>
      <c r="Y36">
        <v>2746300.46</v>
      </c>
      <c r="Z36">
        <v>1919421</v>
      </c>
    </row>
    <row r="37" spans="1:26" x14ac:dyDescent="0.25">
      <c r="A37" t="s">
        <v>150</v>
      </c>
      <c r="B37" t="s">
        <v>151</v>
      </c>
      <c r="C37" t="s">
        <v>152</v>
      </c>
      <c r="D37">
        <v>56436730</v>
      </c>
      <c r="E37">
        <v>0</v>
      </c>
      <c r="F37">
        <v>56436730</v>
      </c>
      <c r="G37">
        <v>1848.15</v>
      </c>
      <c r="H37">
        <v>27</v>
      </c>
      <c r="I37">
        <v>8.7200000000000006</v>
      </c>
      <c r="J37">
        <v>18.28</v>
      </c>
      <c r="K37">
        <v>0</v>
      </c>
      <c r="L37">
        <v>0</v>
      </c>
      <c r="M37">
        <v>0</v>
      </c>
      <c r="N37">
        <v>0</v>
      </c>
      <c r="O37">
        <v>0</v>
      </c>
      <c r="P37">
        <v>3.3000000000000002E-2</v>
      </c>
      <c r="Q37">
        <v>18.313000000000002</v>
      </c>
      <c r="R37">
        <v>8.3089999999999993</v>
      </c>
      <c r="S37">
        <v>0</v>
      </c>
      <c r="T37">
        <v>0</v>
      </c>
      <c r="U37">
        <v>0</v>
      </c>
      <c r="V37">
        <v>0</v>
      </c>
      <c r="W37">
        <v>18.313000000000002</v>
      </c>
      <c r="X37">
        <v>58.183999999999997</v>
      </c>
      <c r="Y37">
        <v>3329167.58</v>
      </c>
      <c r="Z37">
        <v>2231016</v>
      </c>
    </row>
    <row r="38" spans="1:26" x14ac:dyDescent="0.25">
      <c r="A38" t="s">
        <v>153</v>
      </c>
      <c r="B38" t="s">
        <v>151</v>
      </c>
      <c r="C38" t="s">
        <v>154</v>
      </c>
      <c r="D38">
        <v>70193205</v>
      </c>
      <c r="E38">
        <v>0</v>
      </c>
      <c r="F38">
        <v>70193205</v>
      </c>
      <c r="G38">
        <v>70599.97</v>
      </c>
      <c r="H38">
        <v>27</v>
      </c>
      <c r="I38">
        <v>0</v>
      </c>
      <c r="J38">
        <v>27</v>
      </c>
      <c r="K38">
        <v>0</v>
      </c>
      <c r="L38">
        <v>0</v>
      </c>
      <c r="M38">
        <v>0</v>
      </c>
      <c r="N38">
        <v>0</v>
      </c>
      <c r="O38">
        <v>5.4850000000000003</v>
      </c>
      <c r="P38">
        <v>1.006</v>
      </c>
      <c r="Q38">
        <v>33.491</v>
      </c>
      <c r="R38">
        <v>15.678000000000001</v>
      </c>
      <c r="S38">
        <v>0</v>
      </c>
      <c r="T38">
        <v>0</v>
      </c>
      <c r="U38">
        <v>0</v>
      </c>
      <c r="V38">
        <v>0</v>
      </c>
      <c r="W38">
        <v>33.491</v>
      </c>
      <c r="X38">
        <v>52.03</v>
      </c>
      <c r="Y38">
        <v>3727154.18</v>
      </c>
      <c r="Z38">
        <v>1747938</v>
      </c>
    </row>
    <row r="39" spans="1:26" x14ac:dyDescent="0.25">
      <c r="A39" t="s">
        <v>155</v>
      </c>
      <c r="B39" t="s">
        <v>156</v>
      </c>
      <c r="C39" t="s">
        <v>156</v>
      </c>
      <c r="D39">
        <v>57461454</v>
      </c>
      <c r="E39">
        <v>0</v>
      </c>
      <c r="F39">
        <v>57461454</v>
      </c>
      <c r="G39">
        <v>0</v>
      </c>
      <c r="H39">
        <v>27</v>
      </c>
      <c r="I39">
        <v>8.5510000000000002</v>
      </c>
      <c r="J39">
        <v>18.449000000000002</v>
      </c>
      <c r="K39">
        <v>0</v>
      </c>
      <c r="L39">
        <v>0</v>
      </c>
      <c r="M39">
        <v>0</v>
      </c>
      <c r="N39">
        <v>0</v>
      </c>
      <c r="O39">
        <v>6</v>
      </c>
      <c r="P39">
        <v>0</v>
      </c>
      <c r="Q39">
        <v>24.449000000000002</v>
      </c>
      <c r="R39">
        <v>0</v>
      </c>
      <c r="S39">
        <v>0</v>
      </c>
      <c r="T39">
        <v>0</v>
      </c>
      <c r="U39">
        <v>0</v>
      </c>
      <c r="V39">
        <v>0</v>
      </c>
      <c r="W39">
        <v>24.449000000000002</v>
      </c>
      <c r="X39">
        <v>82.335999999999999</v>
      </c>
      <c r="Y39">
        <v>4853084</v>
      </c>
      <c r="Z39">
        <v>3686349</v>
      </c>
    </row>
    <row r="40" spans="1:26" x14ac:dyDescent="0.25">
      <c r="A40" t="s">
        <v>157</v>
      </c>
      <c r="B40" t="s">
        <v>158</v>
      </c>
      <c r="C40" t="s">
        <v>159</v>
      </c>
      <c r="D40">
        <v>121167270</v>
      </c>
      <c r="E40">
        <v>0</v>
      </c>
      <c r="F40">
        <v>121167270</v>
      </c>
      <c r="G40">
        <v>4163.8599999999997</v>
      </c>
      <c r="H40">
        <v>27</v>
      </c>
      <c r="I40">
        <v>2.097</v>
      </c>
      <c r="J40">
        <v>24.902999999999999</v>
      </c>
      <c r="K40">
        <v>0</v>
      </c>
      <c r="L40">
        <v>0</v>
      </c>
      <c r="M40">
        <v>0</v>
      </c>
      <c r="N40">
        <v>0</v>
      </c>
      <c r="O40">
        <v>0</v>
      </c>
      <c r="P40">
        <v>3.4000000000000002E-2</v>
      </c>
      <c r="Q40">
        <v>24.936999999999998</v>
      </c>
      <c r="R40">
        <v>4.9569999999999999</v>
      </c>
      <c r="S40">
        <v>0</v>
      </c>
      <c r="T40">
        <v>0</v>
      </c>
      <c r="U40">
        <v>0</v>
      </c>
      <c r="V40">
        <v>0</v>
      </c>
      <c r="W40">
        <v>24.936999999999998</v>
      </c>
      <c r="X40">
        <v>33.402000000000001</v>
      </c>
      <c r="Y40">
        <v>4445684.7699999996</v>
      </c>
      <c r="Z40">
        <v>1029498</v>
      </c>
    </row>
    <row r="41" spans="1:26" x14ac:dyDescent="0.25">
      <c r="A41" t="s">
        <v>160</v>
      </c>
      <c r="B41" t="s">
        <v>161</v>
      </c>
      <c r="C41" t="s">
        <v>161</v>
      </c>
      <c r="D41">
        <v>436264159</v>
      </c>
      <c r="E41">
        <v>-617720</v>
      </c>
      <c r="F41">
        <v>435646439</v>
      </c>
      <c r="G41">
        <v>14482.6</v>
      </c>
      <c r="H41">
        <v>27</v>
      </c>
      <c r="I41">
        <v>2.3439999999999999</v>
      </c>
      <c r="J41">
        <v>24.655999999999999</v>
      </c>
      <c r="K41">
        <v>0</v>
      </c>
      <c r="L41">
        <v>0</v>
      </c>
      <c r="M41">
        <v>0</v>
      </c>
      <c r="N41">
        <v>0</v>
      </c>
      <c r="O41">
        <v>0</v>
      </c>
      <c r="P41">
        <v>3.3000000000000002E-2</v>
      </c>
      <c r="Q41">
        <v>24.689</v>
      </c>
      <c r="R41">
        <v>4.4240000000000004</v>
      </c>
      <c r="S41">
        <v>0</v>
      </c>
      <c r="T41">
        <v>0</v>
      </c>
      <c r="U41">
        <v>0</v>
      </c>
      <c r="V41">
        <v>0</v>
      </c>
      <c r="W41">
        <v>24.689</v>
      </c>
      <c r="X41">
        <v>98.025000000000006</v>
      </c>
      <c r="Y41">
        <v>43969743.049999997</v>
      </c>
      <c r="Z41">
        <v>31806028</v>
      </c>
    </row>
    <row r="42" spans="1:26" x14ac:dyDescent="0.25">
      <c r="A42" t="s">
        <v>162</v>
      </c>
      <c r="B42" t="s">
        <v>163</v>
      </c>
      <c r="C42" t="s">
        <v>163</v>
      </c>
      <c r="D42">
        <v>23235806840</v>
      </c>
      <c r="E42">
        <v>-1470082495</v>
      </c>
      <c r="F42">
        <v>21765724345</v>
      </c>
      <c r="G42">
        <v>41546092</v>
      </c>
      <c r="H42">
        <v>27</v>
      </c>
      <c r="I42">
        <v>0</v>
      </c>
      <c r="J42">
        <v>27</v>
      </c>
      <c r="K42">
        <v>0</v>
      </c>
      <c r="L42">
        <v>0</v>
      </c>
      <c r="M42">
        <v>0</v>
      </c>
      <c r="N42">
        <v>0</v>
      </c>
      <c r="O42">
        <v>11.208</v>
      </c>
      <c r="P42">
        <v>1.1830000000000001</v>
      </c>
      <c r="Q42">
        <v>39.390999999999998</v>
      </c>
      <c r="R42">
        <v>9.843</v>
      </c>
      <c r="S42">
        <v>0</v>
      </c>
      <c r="T42">
        <v>2.3450000000000002</v>
      </c>
      <c r="U42">
        <v>0</v>
      </c>
      <c r="V42">
        <v>0</v>
      </c>
      <c r="W42">
        <v>41.735999999999997</v>
      </c>
      <c r="X42">
        <v>40.637999999999998</v>
      </c>
      <c r="Y42">
        <v>915418317.79999995</v>
      </c>
      <c r="Z42">
        <v>296871218</v>
      </c>
    </row>
    <row r="43" spans="1:26" x14ac:dyDescent="0.25">
      <c r="A43" t="s">
        <v>164</v>
      </c>
      <c r="B43" t="s">
        <v>165</v>
      </c>
      <c r="C43" t="s">
        <v>165</v>
      </c>
      <c r="D43">
        <v>99073283</v>
      </c>
      <c r="E43">
        <v>0</v>
      </c>
      <c r="F43">
        <v>99073283</v>
      </c>
      <c r="G43">
        <v>308.41999999999996</v>
      </c>
      <c r="H43">
        <v>18.684999999999999</v>
      </c>
      <c r="I43">
        <v>1.1259999999999999</v>
      </c>
      <c r="J43">
        <v>17.559000000000001</v>
      </c>
      <c r="K43">
        <v>0</v>
      </c>
      <c r="L43">
        <v>0</v>
      </c>
      <c r="M43">
        <v>0</v>
      </c>
      <c r="N43">
        <v>0</v>
      </c>
      <c r="O43">
        <v>3</v>
      </c>
      <c r="P43">
        <v>3.0000000000000001E-3</v>
      </c>
      <c r="Q43">
        <v>20.562000000000001</v>
      </c>
      <c r="R43">
        <v>8.7309999999999999</v>
      </c>
      <c r="S43">
        <v>0</v>
      </c>
      <c r="T43">
        <v>0</v>
      </c>
      <c r="U43">
        <v>0</v>
      </c>
      <c r="V43">
        <v>0</v>
      </c>
      <c r="W43">
        <v>20.562000000000001</v>
      </c>
      <c r="X43">
        <v>35.616</v>
      </c>
      <c r="Y43">
        <v>3670950.9</v>
      </c>
      <c r="Z43">
        <v>1795726</v>
      </c>
    </row>
    <row r="44" spans="1:26" x14ac:dyDescent="0.25">
      <c r="A44" t="s">
        <v>166</v>
      </c>
      <c r="B44" t="s">
        <v>167</v>
      </c>
      <c r="C44" t="s">
        <v>167</v>
      </c>
      <c r="D44">
        <v>8223911298</v>
      </c>
      <c r="E44">
        <v>-79310754</v>
      </c>
      <c r="F44">
        <v>8144600544</v>
      </c>
      <c r="G44">
        <v>703422.77</v>
      </c>
      <c r="H44">
        <v>27</v>
      </c>
      <c r="I44">
        <v>0</v>
      </c>
      <c r="J44">
        <v>27</v>
      </c>
      <c r="K44">
        <v>0</v>
      </c>
      <c r="L44">
        <v>0</v>
      </c>
      <c r="M44">
        <v>0</v>
      </c>
      <c r="N44">
        <v>0</v>
      </c>
      <c r="O44">
        <v>9.0500000000000007</v>
      </c>
      <c r="P44">
        <v>8.5999999999999993E-2</v>
      </c>
      <c r="Q44">
        <v>36.135999999999996</v>
      </c>
      <c r="R44">
        <v>6.7</v>
      </c>
      <c r="S44">
        <v>0</v>
      </c>
      <c r="T44">
        <v>0</v>
      </c>
      <c r="U44">
        <v>0</v>
      </c>
      <c r="V44">
        <v>0</v>
      </c>
      <c r="W44">
        <v>36.135999999999996</v>
      </c>
      <c r="X44">
        <v>74.132000000000005</v>
      </c>
      <c r="Y44">
        <v>623723794.23000002</v>
      </c>
      <c r="Z44">
        <v>384413658</v>
      </c>
    </row>
    <row r="45" spans="1:26" x14ac:dyDescent="0.25">
      <c r="A45" t="s">
        <v>168</v>
      </c>
      <c r="B45" t="s">
        <v>169</v>
      </c>
      <c r="C45" t="s">
        <v>169</v>
      </c>
      <c r="D45">
        <v>3371225270</v>
      </c>
      <c r="E45">
        <v>-136046480</v>
      </c>
      <c r="F45">
        <v>3235178790</v>
      </c>
      <c r="G45">
        <v>113447.03</v>
      </c>
      <c r="H45">
        <v>12.138</v>
      </c>
      <c r="I45">
        <v>0</v>
      </c>
      <c r="J45">
        <v>12.138</v>
      </c>
      <c r="K45">
        <v>0</v>
      </c>
      <c r="L45">
        <v>0</v>
      </c>
      <c r="M45">
        <v>0.65400000000000003</v>
      </c>
      <c r="N45">
        <v>0</v>
      </c>
      <c r="O45">
        <v>4.7409999999999997</v>
      </c>
      <c r="P45">
        <v>4.4999999999999998E-2</v>
      </c>
      <c r="Q45">
        <v>17.578000000000003</v>
      </c>
      <c r="R45">
        <v>6.6449999999999996</v>
      </c>
      <c r="S45">
        <v>0.309</v>
      </c>
      <c r="T45">
        <v>0</v>
      </c>
      <c r="U45">
        <v>0</v>
      </c>
      <c r="V45">
        <v>0</v>
      </c>
      <c r="W45">
        <v>17.887000000000004</v>
      </c>
      <c r="X45">
        <v>21.164999999999999</v>
      </c>
      <c r="Y45">
        <v>71372618.310000002</v>
      </c>
      <c r="Z45">
        <v>29437972</v>
      </c>
    </row>
    <row r="46" spans="1:26" x14ac:dyDescent="0.25">
      <c r="A46" t="s">
        <v>170</v>
      </c>
      <c r="B46" t="s">
        <v>171</v>
      </c>
      <c r="C46" t="s">
        <v>172</v>
      </c>
      <c r="D46">
        <v>277573095</v>
      </c>
      <c r="E46">
        <v>0</v>
      </c>
      <c r="F46">
        <v>277573095</v>
      </c>
      <c r="G46">
        <v>8152.21</v>
      </c>
      <c r="H46">
        <v>27</v>
      </c>
      <c r="I46">
        <v>0</v>
      </c>
      <c r="J46">
        <v>27</v>
      </c>
      <c r="K46">
        <v>0</v>
      </c>
      <c r="L46">
        <v>0</v>
      </c>
      <c r="M46">
        <v>0</v>
      </c>
      <c r="N46">
        <v>0</v>
      </c>
      <c r="O46">
        <v>5.7279999999999998</v>
      </c>
      <c r="P46">
        <v>2.9000000000000001E-2</v>
      </c>
      <c r="Q46">
        <v>32.757000000000005</v>
      </c>
      <c r="R46">
        <v>0</v>
      </c>
      <c r="S46">
        <v>0</v>
      </c>
      <c r="T46">
        <v>0</v>
      </c>
      <c r="U46">
        <v>0</v>
      </c>
      <c r="V46">
        <v>0</v>
      </c>
      <c r="W46">
        <v>32.757000000000005</v>
      </c>
      <c r="X46">
        <v>77.706000000000003</v>
      </c>
      <c r="Y46">
        <v>22803775.030000001</v>
      </c>
      <c r="Z46">
        <v>14074345</v>
      </c>
    </row>
    <row r="47" spans="1:26" x14ac:dyDescent="0.25">
      <c r="A47" t="s">
        <v>173</v>
      </c>
      <c r="B47" t="s">
        <v>171</v>
      </c>
      <c r="C47" t="s">
        <v>174</v>
      </c>
      <c r="D47">
        <v>53529092</v>
      </c>
      <c r="E47">
        <v>0</v>
      </c>
      <c r="F47">
        <v>53529092</v>
      </c>
      <c r="G47">
        <v>18.97</v>
      </c>
      <c r="H47">
        <v>27</v>
      </c>
      <c r="I47">
        <v>5.8120000000000003</v>
      </c>
      <c r="J47">
        <v>21.187999999999999</v>
      </c>
      <c r="K47">
        <v>0</v>
      </c>
      <c r="L47">
        <v>0</v>
      </c>
      <c r="M47">
        <v>0</v>
      </c>
      <c r="N47">
        <v>0</v>
      </c>
      <c r="O47">
        <v>0</v>
      </c>
      <c r="P47">
        <v>0</v>
      </c>
      <c r="Q47">
        <v>21.187999999999999</v>
      </c>
      <c r="R47">
        <v>0</v>
      </c>
      <c r="S47">
        <v>0</v>
      </c>
      <c r="T47">
        <v>0</v>
      </c>
      <c r="U47">
        <v>0</v>
      </c>
      <c r="V47">
        <v>0</v>
      </c>
      <c r="W47">
        <v>21.187999999999999</v>
      </c>
      <c r="X47">
        <v>69.147000000000006</v>
      </c>
      <c r="Y47">
        <v>3869015.65</v>
      </c>
      <c r="Z47">
        <v>2567128</v>
      </c>
    </row>
    <row r="48" spans="1:26" x14ac:dyDescent="0.25">
      <c r="A48" t="s">
        <v>175</v>
      </c>
      <c r="B48" t="s">
        <v>171</v>
      </c>
      <c r="C48" t="s">
        <v>176</v>
      </c>
      <c r="D48">
        <v>40838500</v>
      </c>
      <c r="E48">
        <v>0</v>
      </c>
      <c r="F48">
        <v>40838500</v>
      </c>
      <c r="G48">
        <v>3854.5099999999998</v>
      </c>
      <c r="H48">
        <v>27</v>
      </c>
      <c r="I48">
        <v>0</v>
      </c>
      <c r="J48">
        <v>27</v>
      </c>
      <c r="K48">
        <v>0</v>
      </c>
      <c r="L48">
        <v>0</v>
      </c>
      <c r="M48">
        <v>0</v>
      </c>
      <c r="N48">
        <v>0</v>
      </c>
      <c r="O48">
        <v>0</v>
      </c>
      <c r="P48">
        <v>9.1999999999999998E-2</v>
      </c>
      <c r="Q48">
        <v>27.091999999999999</v>
      </c>
      <c r="R48">
        <v>4.8730000000000002</v>
      </c>
      <c r="S48">
        <v>0</v>
      </c>
      <c r="T48">
        <v>0</v>
      </c>
      <c r="U48">
        <v>0</v>
      </c>
      <c r="V48">
        <v>0</v>
      </c>
      <c r="W48">
        <v>27.091999999999999</v>
      </c>
      <c r="X48">
        <v>102.339</v>
      </c>
      <c r="Y48">
        <v>4288096.72</v>
      </c>
      <c r="Z48">
        <v>3066216</v>
      </c>
    </row>
    <row r="49" spans="1:26" x14ac:dyDescent="0.25">
      <c r="A49" t="s">
        <v>177</v>
      </c>
      <c r="B49" t="s">
        <v>171</v>
      </c>
      <c r="C49" t="s">
        <v>171</v>
      </c>
      <c r="D49">
        <v>27177878</v>
      </c>
      <c r="E49">
        <v>0</v>
      </c>
      <c r="F49">
        <v>27177878</v>
      </c>
      <c r="G49">
        <v>870.82999999999993</v>
      </c>
      <c r="H49">
        <v>24.431000000000001</v>
      </c>
      <c r="I49">
        <v>1.835</v>
      </c>
      <c r="J49">
        <v>22.596</v>
      </c>
      <c r="K49">
        <v>0</v>
      </c>
      <c r="L49">
        <v>0</v>
      </c>
      <c r="M49">
        <v>0</v>
      </c>
      <c r="N49">
        <v>0</v>
      </c>
      <c r="O49">
        <v>0</v>
      </c>
      <c r="P49">
        <v>3.2000000000000001E-2</v>
      </c>
      <c r="Q49">
        <v>22.628</v>
      </c>
      <c r="R49">
        <v>7.3239999999999998</v>
      </c>
      <c r="S49">
        <v>0</v>
      </c>
      <c r="T49">
        <v>0</v>
      </c>
      <c r="U49">
        <v>0</v>
      </c>
      <c r="V49">
        <v>0</v>
      </c>
      <c r="W49">
        <v>22.628</v>
      </c>
      <c r="X49">
        <v>135.29900000000001</v>
      </c>
      <c r="Y49">
        <v>3780229.83</v>
      </c>
      <c r="Z49">
        <v>3066444</v>
      </c>
    </row>
    <row r="50" spans="1:26" x14ac:dyDescent="0.25">
      <c r="A50" t="s">
        <v>178</v>
      </c>
      <c r="B50" t="s">
        <v>171</v>
      </c>
      <c r="C50" t="s">
        <v>179</v>
      </c>
      <c r="D50">
        <v>26830186</v>
      </c>
      <c r="E50">
        <v>0</v>
      </c>
      <c r="F50">
        <v>26830186</v>
      </c>
      <c r="G50">
        <v>29.96</v>
      </c>
      <c r="H50">
        <v>27</v>
      </c>
      <c r="I50">
        <v>8.202</v>
      </c>
      <c r="J50">
        <v>18.797999999999998</v>
      </c>
      <c r="K50">
        <v>0</v>
      </c>
      <c r="L50">
        <v>0</v>
      </c>
      <c r="M50">
        <v>0</v>
      </c>
      <c r="N50">
        <v>0</v>
      </c>
      <c r="O50">
        <v>0</v>
      </c>
      <c r="P50">
        <v>1E-3</v>
      </c>
      <c r="Q50">
        <v>18.798999999999999</v>
      </c>
      <c r="R50">
        <v>0</v>
      </c>
      <c r="S50">
        <v>0</v>
      </c>
      <c r="T50">
        <v>0</v>
      </c>
      <c r="U50">
        <v>0</v>
      </c>
      <c r="V50">
        <v>0</v>
      </c>
      <c r="W50">
        <v>18.798999999999999</v>
      </c>
      <c r="X50">
        <v>62.279000000000003</v>
      </c>
      <c r="Y50">
        <v>1730491.42</v>
      </c>
      <c r="Z50">
        <v>1166171</v>
      </c>
    </row>
    <row r="51" spans="1:26" x14ac:dyDescent="0.25">
      <c r="A51" t="s">
        <v>180</v>
      </c>
      <c r="B51" t="s">
        <v>181</v>
      </c>
      <c r="C51" t="s">
        <v>182</v>
      </c>
      <c r="D51">
        <v>50906936</v>
      </c>
      <c r="E51">
        <v>0</v>
      </c>
      <c r="F51">
        <v>50906936</v>
      </c>
      <c r="G51">
        <v>5074.2</v>
      </c>
      <c r="H51">
        <v>27</v>
      </c>
      <c r="I51">
        <v>0</v>
      </c>
      <c r="J51">
        <v>27</v>
      </c>
      <c r="K51">
        <v>0</v>
      </c>
      <c r="L51">
        <v>0</v>
      </c>
      <c r="M51">
        <v>0</v>
      </c>
      <c r="N51">
        <v>0</v>
      </c>
      <c r="O51">
        <v>0</v>
      </c>
      <c r="P51">
        <v>0.34200000000000003</v>
      </c>
      <c r="Q51">
        <v>27.341999999999999</v>
      </c>
      <c r="R51">
        <v>10.151999999999999</v>
      </c>
      <c r="S51">
        <v>0</v>
      </c>
      <c r="T51">
        <v>0</v>
      </c>
      <c r="U51">
        <v>0</v>
      </c>
      <c r="V51">
        <v>0</v>
      </c>
      <c r="W51">
        <v>27.341999999999999</v>
      </c>
      <c r="X51">
        <v>98.878</v>
      </c>
      <c r="Y51">
        <v>5198338.68</v>
      </c>
      <c r="Z51">
        <v>3670122</v>
      </c>
    </row>
    <row r="52" spans="1:26" x14ac:dyDescent="0.25">
      <c r="A52" t="s">
        <v>183</v>
      </c>
      <c r="B52" t="s">
        <v>181</v>
      </c>
      <c r="C52" t="s">
        <v>184</v>
      </c>
      <c r="D52">
        <v>836797720</v>
      </c>
      <c r="E52">
        <v>-10698540</v>
      </c>
      <c r="F52">
        <v>826099180</v>
      </c>
      <c r="G52">
        <v>531234.81999999995</v>
      </c>
      <c r="H52">
        <v>15.72</v>
      </c>
      <c r="I52">
        <v>0</v>
      </c>
      <c r="J52">
        <v>15.72</v>
      </c>
      <c r="K52">
        <v>0</v>
      </c>
      <c r="L52">
        <v>0</v>
      </c>
      <c r="M52">
        <v>0</v>
      </c>
      <c r="N52">
        <v>0</v>
      </c>
      <c r="O52">
        <v>6.9610000000000003</v>
      </c>
      <c r="P52">
        <v>0.64400000000000002</v>
      </c>
      <c r="Q52">
        <v>23.324999999999999</v>
      </c>
      <c r="R52">
        <v>17.474</v>
      </c>
      <c r="S52">
        <v>0</v>
      </c>
      <c r="T52">
        <v>0</v>
      </c>
      <c r="U52">
        <v>0</v>
      </c>
      <c r="V52">
        <v>0</v>
      </c>
      <c r="W52">
        <v>23.324999999999999</v>
      </c>
      <c r="X52">
        <v>156.35900000000001</v>
      </c>
      <c r="Y52">
        <v>130705533.2</v>
      </c>
      <c r="Z52">
        <v>116433786</v>
      </c>
    </row>
    <row r="53" spans="1:26" x14ac:dyDescent="0.25">
      <c r="A53" t="s">
        <v>185</v>
      </c>
      <c r="B53" t="s">
        <v>181</v>
      </c>
      <c r="C53" t="s">
        <v>186</v>
      </c>
      <c r="D53">
        <v>704386240</v>
      </c>
      <c r="E53">
        <v>-1435390</v>
      </c>
      <c r="F53">
        <v>702950850</v>
      </c>
      <c r="G53">
        <v>100847.36</v>
      </c>
      <c r="H53">
        <v>27</v>
      </c>
      <c r="I53">
        <v>3.1059999999999999</v>
      </c>
      <c r="J53">
        <v>23.893999999999998</v>
      </c>
      <c r="K53">
        <v>0</v>
      </c>
      <c r="L53">
        <v>0</v>
      </c>
      <c r="M53">
        <v>0</v>
      </c>
      <c r="N53">
        <v>0</v>
      </c>
      <c r="O53">
        <v>12.471</v>
      </c>
      <c r="P53">
        <v>0.14299999999999999</v>
      </c>
      <c r="Q53">
        <v>36.507999999999996</v>
      </c>
      <c r="R53">
        <v>4.7</v>
      </c>
      <c r="S53">
        <v>0</v>
      </c>
      <c r="T53">
        <v>0</v>
      </c>
      <c r="U53">
        <v>0</v>
      </c>
      <c r="V53">
        <v>6.407</v>
      </c>
      <c r="W53">
        <v>42.914999999999992</v>
      </c>
      <c r="X53">
        <v>130.75800000000001</v>
      </c>
      <c r="Y53">
        <v>87056013.829999998</v>
      </c>
      <c r="Z53">
        <v>67688414</v>
      </c>
    </row>
    <row r="54" spans="1:26" x14ac:dyDescent="0.25">
      <c r="A54" t="s">
        <v>187</v>
      </c>
      <c r="B54" t="s">
        <v>181</v>
      </c>
      <c r="C54" t="s">
        <v>188</v>
      </c>
      <c r="D54">
        <v>205642730</v>
      </c>
      <c r="E54">
        <v>-4032760</v>
      </c>
      <c r="F54">
        <v>201609970</v>
      </c>
      <c r="G54">
        <v>4270.05</v>
      </c>
      <c r="H54">
        <v>27</v>
      </c>
      <c r="I54">
        <v>5.3159999999999998</v>
      </c>
      <c r="J54">
        <v>21.684000000000001</v>
      </c>
      <c r="K54">
        <v>0</v>
      </c>
      <c r="L54">
        <v>0</v>
      </c>
      <c r="M54">
        <v>0</v>
      </c>
      <c r="N54">
        <v>0</v>
      </c>
      <c r="O54">
        <v>5</v>
      </c>
      <c r="P54">
        <v>0.02</v>
      </c>
      <c r="Q54">
        <v>26.704000000000001</v>
      </c>
      <c r="R54">
        <v>0</v>
      </c>
      <c r="S54">
        <v>0</v>
      </c>
      <c r="T54">
        <v>0</v>
      </c>
      <c r="U54">
        <v>0</v>
      </c>
      <c r="V54">
        <v>0</v>
      </c>
      <c r="W54">
        <v>26.704000000000001</v>
      </c>
      <c r="X54">
        <v>381.61099999999999</v>
      </c>
      <c r="Y54">
        <v>77286743.219999999</v>
      </c>
      <c r="Z54">
        <v>72503783</v>
      </c>
    </row>
    <row r="55" spans="1:26" x14ac:dyDescent="0.25">
      <c r="A55" t="s">
        <v>189</v>
      </c>
      <c r="B55" t="s">
        <v>181</v>
      </c>
      <c r="C55" t="s">
        <v>190</v>
      </c>
      <c r="D55">
        <v>3567715230</v>
      </c>
      <c r="E55">
        <v>-81343200</v>
      </c>
      <c r="F55">
        <v>3486372030</v>
      </c>
      <c r="G55">
        <v>1924986.78</v>
      </c>
      <c r="H55">
        <v>20.715</v>
      </c>
      <c r="I55">
        <v>0</v>
      </c>
      <c r="J55">
        <v>20.715</v>
      </c>
      <c r="K55">
        <v>0</v>
      </c>
      <c r="L55">
        <v>0</v>
      </c>
      <c r="M55">
        <v>0</v>
      </c>
      <c r="N55">
        <v>0</v>
      </c>
      <c r="O55">
        <v>21.562000000000001</v>
      </c>
      <c r="P55">
        <v>0.54400000000000004</v>
      </c>
      <c r="Q55">
        <v>42.820999999999998</v>
      </c>
      <c r="R55">
        <v>0</v>
      </c>
      <c r="S55">
        <v>0</v>
      </c>
      <c r="T55">
        <v>0</v>
      </c>
      <c r="U55">
        <v>0</v>
      </c>
      <c r="V55">
        <v>0</v>
      </c>
      <c r="W55">
        <v>42.820999999999998</v>
      </c>
      <c r="X55">
        <v>77.007000000000005</v>
      </c>
      <c r="Y55">
        <v>275601414.35000002</v>
      </c>
      <c r="Z55">
        <v>196096159</v>
      </c>
    </row>
    <row r="56" spans="1:26" x14ac:dyDescent="0.25">
      <c r="A56" t="s">
        <v>191</v>
      </c>
      <c r="B56" t="s">
        <v>181</v>
      </c>
      <c r="C56" t="s">
        <v>192</v>
      </c>
      <c r="D56">
        <v>465514380</v>
      </c>
      <c r="E56">
        <v>0</v>
      </c>
      <c r="F56">
        <v>465514380</v>
      </c>
      <c r="G56">
        <v>53827.03</v>
      </c>
      <c r="H56">
        <v>27</v>
      </c>
      <c r="I56">
        <v>0</v>
      </c>
      <c r="J56">
        <v>27</v>
      </c>
      <c r="K56">
        <v>0</v>
      </c>
      <c r="L56">
        <v>0</v>
      </c>
      <c r="M56">
        <v>0</v>
      </c>
      <c r="N56">
        <v>0</v>
      </c>
      <c r="O56">
        <v>19.954999999999998</v>
      </c>
      <c r="P56">
        <v>0.11600000000000001</v>
      </c>
      <c r="Q56">
        <v>47.070999999999998</v>
      </c>
      <c r="R56">
        <v>7.9290000000000003</v>
      </c>
      <c r="S56">
        <v>0</v>
      </c>
      <c r="T56">
        <v>0</v>
      </c>
      <c r="U56">
        <v>0</v>
      </c>
      <c r="V56">
        <v>0</v>
      </c>
      <c r="W56">
        <v>47.070999999999998</v>
      </c>
      <c r="X56">
        <v>70.248999999999995</v>
      </c>
      <c r="Y56">
        <v>33993691.840000004</v>
      </c>
      <c r="Z56">
        <v>20099229</v>
      </c>
    </row>
    <row r="57" spans="1:26" x14ac:dyDescent="0.25">
      <c r="A57" t="s">
        <v>193</v>
      </c>
      <c r="B57" t="s">
        <v>181</v>
      </c>
      <c r="C57" t="s">
        <v>194</v>
      </c>
      <c r="D57">
        <v>156638330</v>
      </c>
      <c r="E57">
        <v>-1695180</v>
      </c>
      <c r="F57">
        <v>154943150</v>
      </c>
      <c r="G57">
        <v>40086.14</v>
      </c>
      <c r="H57">
        <v>27</v>
      </c>
      <c r="I57">
        <v>2.1840000000000002</v>
      </c>
      <c r="J57">
        <v>24.815999999999999</v>
      </c>
      <c r="K57">
        <v>0</v>
      </c>
      <c r="L57">
        <v>0</v>
      </c>
      <c r="M57">
        <v>0</v>
      </c>
      <c r="N57">
        <v>0</v>
      </c>
      <c r="O57">
        <v>26.646999999999998</v>
      </c>
      <c r="P57">
        <v>0.26900000000000002</v>
      </c>
      <c r="Q57">
        <v>51.731999999999992</v>
      </c>
      <c r="R57">
        <v>0</v>
      </c>
      <c r="S57">
        <v>0</v>
      </c>
      <c r="T57">
        <v>0</v>
      </c>
      <c r="U57">
        <v>0</v>
      </c>
      <c r="V57">
        <v>0</v>
      </c>
      <c r="W57">
        <v>51.731999999999992</v>
      </c>
      <c r="X57">
        <v>90.641000000000005</v>
      </c>
      <c r="Y57">
        <v>13749223.98</v>
      </c>
      <c r="Z57">
        <v>9703326</v>
      </c>
    </row>
    <row r="58" spans="1:26" x14ac:dyDescent="0.25">
      <c r="A58" t="s">
        <v>195</v>
      </c>
      <c r="B58" t="s">
        <v>181</v>
      </c>
      <c r="C58" t="s">
        <v>196</v>
      </c>
      <c r="D58">
        <v>2261480790</v>
      </c>
      <c r="E58">
        <v>-35824740</v>
      </c>
      <c r="F58">
        <v>2225656050</v>
      </c>
      <c r="G58">
        <v>592786.97</v>
      </c>
      <c r="H58">
        <v>27</v>
      </c>
      <c r="I58">
        <v>0</v>
      </c>
      <c r="J58">
        <v>27</v>
      </c>
      <c r="K58">
        <v>0</v>
      </c>
      <c r="L58">
        <v>0</v>
      </c>
      <c r="M58">
        <v>0</v>
      </c>
      <c r="N58">
        <v>0</v>
      </c>
      <c r="O58">
        <v>12.019</v>
      </c>
      <c r="P58">
        <v>0.26300000000000001</v>
      </c>
      <c r="Q58">
        <v>39.281999999999996</v>
      </c>
      <c r="R58">
        <v>13.747999999999999</v>
      </c>
      <c r="S58">
        <v>0</v>
      </c>
      <c r="T58">
        <v>0</v>
      </c>
      <c r="U58">
        <v>0</v>
      </c>
      <c r="V58">
        <v>0</v>
      </c>
      <c r="W58">
        <v>39.281999999999996</v>
      </c>
      <c r="X58">
        <v>105.51</v>
      </c>
      <c r="Y58">
        <v>241200626.87</v>
      </c>
      <c r="Z58">
        <v>174958813</v>
      </c>
    </row>
    <row r="59" spans="1:26" x14ac:dyDescent="0.25">
      <c r="A59" t="s">
        <v>197</v>
      </c>
      <c r="B59" t="s">
        <v>181</v>
      </c>
      <c r="C59" t="s">
        <v>198</v>
      </c>
      <c r="D59">
        <v>46391220</v>
      </c>
      <c r="E59">
        <v>0</v>
      </c>
      <c r="F59">
        <v>46391220</v>
      </c>
      <c r="G59">
        <v>125.19</v>
      </c>
      <c r="H59">
        <v>27</v>
      </c>
      <c r="I59">
        <v>0</v>
      </c>
      <c r="J59">
        <v>27</v>
      </c>
      <c r="K59">
        <v>0</v>
      </c>
      <c r="L59">
        <v>0</v>
      </c>
      <c r="M59">
        <v>0</v>
      </c>
      <c r="N59">
        <v>0</v>
      </c>
      <c r="O59">
        <v>0</v>
      </c>
      <c r="P59">
        <v>0</v>
      </c>
      <c r="Q59">
        <v>27</v>
      </c>
      <c r="R59">
        <v>3</v>
      </c>
      <c r="S59">
        <v>0</v>
      </c>
      <c r="T59">
        <v>0</v>
      </c>
      <c r="U59">
        <v>0</v>
      </c>
      <c r="V59">
        <v>0</v>
      </c>
      <c r="W59">
        <v>27</v>
      </c>
      <c r="X59">
        <v>224.321</v>
      </c>
      <c r="Y59">
        <v>10547333.800000001</v>
      </c>
      <c r="Z59">
        <v>9121287</v>
      </c>
    </row>
    <row r="60" spans="1:26" x14ac:dyDescent="0.25">
      <c r="A60" t="s">
        <v>199</v>
      </c>
      <c r="B60" t="s">
        <v>181</v>
      </c>
      <c r="C60" t="s">
        <v>200</v>
      </c>
      <c r="D60">
        <v>59801070</v>
      </c>
      <c r="E60">
        <v>0</v>
      </c>
      <c r="F60">
        <v>59801070</v>
      </c>
      <c r="G60">
        <v>944.88</v>
      </c>
      <c r="H60">
        <v>27</v>
      </c>
      <c r="I60">
        <v>3.581</v>
      </c>
      <c r="J60">
        <v>23.419</v>
      </c>
      <c r="K60">
        <v>0</v>
      </c>
      <c r="L60">
        <v>0</v>
      </c>
      <c r="M60">
        <v>0</v>
      </c>
      <c r="N60">
        <v>0</v>
      </c>
      <c r="O60">
        <v>7</v>
      </c>
      <c r="P60">
        <v>1.6E-2</v>
      </c>
      <c r="Q60">
        <v>30.434999999999999</v>
      </c>
      <c r="R60">
        <v>0</v>
      </c>
      <c r="S60">
        <v>0</v>
      </c>
      <c r="T60">
        <v>0</v>
      </c>
      <c r="U60">
        <v>0</v>
      </c>
      <c r="V60">
        <v>0</v>
      </c>
      <c r="W60">
        <v>30.434999999999999</v>
      </c>
      <c r="X60">
        <v>105.428</v>
      </c>
      <c r="Y60">
        <v>6471912.9199999999</v>
      </c>
      <c r="Z60">
        <v>4931895</v>
      </c>
    </row>
    <row r="61" spans="1:26" x14ac:dyDescent="0.25">
      <c r="A61" t="s">
        <v>201</v>
      </c>
      <c r="B61" t="s">
        <v>181</v>
      </c>
      <c r="C61" t="s">
        <v>202</v>
      </c>
      <c r="D61">
        <v>50043030</v>
      </c>
      <c r="E61">
        <v>0</v>
      </c>
      <c r="F61">
        <v>50043030</v>
      </c>
      <c r="G61">
        <v>31859.360000000001</v>
      </c>
      <c r="H61">
        <v>26.126000000000001</v>
      </c>
      <c r="I61">
        <v>15.695</v>
      </c>
      <c r="J61">
        <v>10.433</v>
      </c>
      <c r="K61">
        <v>0</v>
      </c>
      <c r="L61">
        <v>0</v>
      </c>
      <c r="M61">
        <v>0</v>
      </c>
      <c r="N61">
        <v>0</v>
      </c>
      <c r="O61">
        <v>0</v>
      </c>
      <c r="P61">
        <v>0.63700000000000001</v>
      </c>
      <c r="Q61">
        <v>11.07</v>
      </c>
      <c r="R61">
        <v>18.75</v>
      </c>
      <c r="S61">
        <v>0</v>
      </c>
      <c r="T61">
        <v>0</v>
      </c>
      <c r="U61">
        <v>0</v>
      </c>
      <c r="V61">
        <v>0</v>
      </c>
      <c r="W61">
        <v>11.07</v>
      </c>
      <c r="X61">
        <v>79.539000000000001</v>
      </c>
      <c r="Y61">
        <v>3998617.75</v>
      </c>
      <c r="Z61">
        <v>3435063</v>
      </c>
    </row>
    <row r="62" spans="1:26" x14ac:dyDescent="0.25">
      <c r="A62" t="s">
        <v>203</v>
      </c>
      <c r="B62" t="s">
        <v>181</v>
      </c>
      <c r="C62" t="s">
        <v>204</v>
      </c>
      <c r="D62">
        <v>701201010</v>
      </c>
      <c r="E62">
        <v>0</v>
      </c>
      <c r="F62">
        <v>701201010</v>
      </c>
      <c r="G62">
        <v>142503.29</v>
      </c>
      <c r="H62">
        <v>27</v>
      </c>
      <c r="I62">
        <v>1.8360000000000001</v>
      </c>
      <c r="J62">
        <v>25.164000000000001</v>
      </c>
      <c r="K62">
        <v>0</v>
      </c>
      <c r="L62">
        <v>0</v>
      </c>
      <c r="M62">
        <v>0</v>
      </c>
      <c r="N62">
        <v>0</v>
      </c>
      <c r="O62">
        <v>5.7039999999999997</v>
      </c>
      <c r="P62">
        <v>0.20300000000000001</v>
      </c>
      <c r="Q62">
        <v>31.071000000000002</v>
      </c>
      <c r="R62">
        <v>9.4290000000000003</v>
      </c>
      <c r="S62">
        <v>0</v>
      </c>
      <c r="T62">
        <v>0</v>
      </c>
      <c r="U62">
        <v>0</v>
      </c>
      <c r="V62">
        <v>0</v>
      </c>
      <c r="W62">
        <v>31.071000000000002</v>
      </c>
      <c r="X62">
        <v>83.971000000000004</v>
      </c>
      <c r="Y62">
        <v>60558049.659999996</v>
      </c>
      <c r="Z62">
        <v>41250801</v>
      </c>
    </row>
    <row r="63" spans="1:26" x14ac:dyDescent="0.25">
      <c r="A63" t="s">
        <v>205</v>
      </c>
      <c r="B63" t="s">
        <v>181</v>
      </c>
      <c r="C63" t="s">
        <v>206</v>
      </c>
      <c r="D63">
        <v>1314377980</v>
      </c>
      <c r="E63">
        <v>0</v>
      </c>
      <c r="F63">
        <v>1314377980</v>
      </c>
      <c r="G63">
        <v>262753.68</v>
      </c>
      <c r="H63">
        <v>27</v>
      </c>
      <c r="I63">
        <v>0.54100000000000004</v>
      </c>
      <c r="J63">
        <v>26.459</v>
      </c>
      <c r="K63">
        <v>0</v>
      </c>
      <c r="L63">
        <v>0</v>
      </c>
      <c r="M63">
        <v>0</v>
      </c>
      <c r="N63">
        <v>0</v>
      </c>
      <c r="O63">
        <v>18.5</v>
      </c>
      <c r="P63">
        <v>0.2</v>
      </c>
      <c r="Q63">
        <v>45.159000000000006</v>
      </c>
      <c r="R63">
        <v>0</v>
      </c>
      <c r="S63">
        <v>0</v>
      </c>
      <c r="T63">
        <v>0</v>
      </c>
      <c r="U63">
        <v>0</v>
      </c>
      <c r="V63">
        <v>0</v>
      </c>
      <c r="W63">
        <v>45.159000000000006</v>
      </c>
      <c r="X63">
        <v>219.309</v>
      </c>
      <c r="Y63">
        <v>291654956.88</v>
      </c>
      <c r="Z63">
        <v>253723597</v>
      </c>
    </row>
    <row r="64" spans="1:26" x14ac:dyDescent="0.25">
      <c r="A64" t="s">
        <v>207</v>
      </c>
      <c r="B64" t="s">
        <v>181</v>
      </c>
      <c r="C64" t="s">
        <v>208</v>
      </c>
      <c r="D64">
        <v>7403567</v>
      </c>
      <c r="E64">
        <v>0</v>
      </c>
      <c r="F64">
        <v>7403567</v>
      </c>
      <c r="G64">
        <v>803.75</v>
      </c>
      <c r="H64">
        <v>27</v>
      </c>
      <c r="I64">
        <v>0</v>
      </c>
      <c r="J64">
        <v>27</v>
      </c>
      <c r="K64">
        <v>0</v>
      </c>
      <c r="L64">
        <v>0</v>
      </c>
      <c r="M64">
        <v>0</v>
      </c>
      <c r="N64">
        <v>0</v>
      </c>
      <c r="O64">
        <v>0</v>
      </c>
      <c r="P64">
        <v>2.1999999999999999E-2</v>
      </c>
      <c r="Q64">
        <v>27.021999999999998</v>
      </c>
      <c r="R64">
        <v>4.3220000000000001</v>
      </c>
      <c r="S64">
        <v>0</v>
      </c>
      <c r="T64">
        <v>0</v>
      </c>
      <c r="U64">
        <v>0</v>
      </c>
      <c r="V64">
        <v>0</v>
      </c>
      <c r="W64">
        <v>27.021999999999998</v>
      </c>
      <c r="X64">
        <v>375.05900000000003</v>
      </c>
      <c r="Y64">
        <v>2792311.05</v>
      </c>
      <c r="Z64">
        <v>2579371</v>
      </c>
    </row>
    <row r="65" spans="1:26" x14ac:dyDescent="0.25">
      <c r="A65" t="s">
        <v>209</v>
      </c>
      <c r="B65" t="s">
        <v>181</v>
      </c>
      <c r="C65" t="s">
        <v>210</v>
      </c>
      <c r="D65">
        <v>36326653</v>
      </c>
      <c r="E65">
        <v>0</v>
      </c>
      <c r="F65">
        <v>36326653</v>
      </c>
      <c r="G65">
        <v>4500.99</v>
      </c>
      <c r="H65">
        <v>27</v>
      </c>
      <c r="I65">
        <v>4.1660000000000004</v>
      </c>
      <c r="J65">
        <v>22.834</v>
      </c>
      <c r="K65">
        <v>0</v>
      </c>
      <c r="L65">
        <v>0</v>
      </c>
      <c r="M65">
        <v>0</v>
      </c>
      <c r="N65">
        <v>0</v>
      </c>
      <c r="O65">
        <v>0</v>
      </c>
      <c r="P65">
        <v>0</v>
      </c>
      <c r="Q65">
        <v>22.834</v>
      </c>
      <c r="R65">
        <v>4.4560000000000004</v>
      </c>
      <c r="S65">
        <v>0</v>
      </c>
      <c r="T65">
        <v>0</v>
      </c>
      <c r="U65">
        <v>0</v>
      </c>
      <c r="V65">
        <v>0</v>
      </c>
      <c r="W65">
        <v>22.834</v>
      </c>
      <c r="X65">
        <v>0</v>
      </c>
      <c r="Y65">
        <v>4032044.62</v>
      </c>
      <c r="Z65">
        <v>3140149</v>
      </c>
    </row>
    <row r="66" spans="1:26" x14ac:dyDescent="0.25">
      <c r="A66" t="s">
        <v>211</v>
      </c>
      <c r="B66" t="s">
        <v>212</v>
      </c>
      <c r="C66" t="s">
        <v>213</v>
      </c>
      <c r="D66">
        <v>313729238</v>
      </c>
      <c r="E66">
        <v>-400597</v>
      </c>
      <c r="F66">
        <v>313328641</v>
      </c>
      <c r="G66">
        <v>0</v>
      </c>
      <c r="H66">
        <v>27</v>
      </c>
      <c r="I66">
        <v>0</v>
      </c>
      <c r="J66">
        <v>27</v>
      </c>
      <c r="K66">
        <v>0</v>
      </c>
      <c r="L66">
        <v>0</v>
      </c>
      <c r="M66">
        <v>0</v>
      </c>
      <c r="N66">
        <v>0</v>
      </c>
      <c r="O66">
        <v>4.42</v>
      </c>
      <c r="P66">
        <v>0</v>
      </c>
      <c r="Q66">
        <v>31.42</v>
      </c>
      <c r="R66">
        <v>12.287000000000001</v>
      </c>
      <c r="S66">
        <v>0</v>
      </c>
      <c r="T66">
        <v>0</v>
      </c>
      <c r="U66">
        <v>0</v>
      </c>
      <c r="V66">
        <v>0</v>
      </c>
      <c r="W66">
        <v>31.42</v>
      </c>
      <c r="X66">
        <v>101.375</v>
      </c>
      <c r="Y66">
        <v>32974807.34</v>
      </c>
      <c r="Z66">
        <v>23296555</v>
      </c>
    </row>
    <row r="67" spans="1:26" x14ac:dyDescent="0.25">
      <c r="A67" t="s">
        <v>214</v>
      </c>
      <c r="B67" t="s">
        <v>212</v>
      </c>
      <c r="C67" t="s">
        <v>215</v>
      </c>
      <c r="D67">
        <v>169808986</v>
      </c>
      <c r="E67">
        <v>0</v>
      </c>
      <c r="F67">
        <v>169808986</v>
      </c>
      <c r="G67">
        <v>5.29</v>
      </c>
      <c r="H67">
        <v>27</v>
      </c>
      <c r="I67">
        <v>9.7970000000000006</v>
      </c>
      <c r="J67">
        <v>17.202999999999999</v>
      </c>
      <c r="K67">
        <v>0</v>
      </c>
      <c r="L67">
        <v>0</v>
      </c>
      <c r="M67">
        <v>0</v>
      </c>
      <c r="N67">
        <v>0</v>
      </c>
      <c r="O67">
        <v>2.0609999999999999</v>
      </c>
      <c r="P67">
        <v>0</v>
      </c>
      <c r="Q67">
        <v>19.263999999999999</v>
      </c>
      <c r="R67">
        <v>11.118</v>
      </c>
      <c r="S67">
        <v>0</v>
      </c>
      <c r="T67">
        <v>0</v>
      </c>
      <c r="U67">
        <v>0</v>
      </c>
      <c r="V67">
        <v>0</v>
      </c>
      <c r="W67">
        <v>19.263999999999999</v>
      </c>
      <c r="X67">
        <v>77.650999999999996</v>
      </c>
      <c r="Y67">
        <v>13431519.279999999</v>
      </c>
      <c r="Z67">
        <v>10263748</v>
      </c>
    </row>
    <row r="68" spans="1:26" x14ac:dyDescent="0.25">
      <c r="A68" t="s">
        <v>216</v>
      </c>
      <c r="B68" t="s">
        <v>212</v>
      </c>
      <c r="C68" t="s">
        <v>217</v>
      </c>
      <c r="D68">
        <v>76843061</v>
      </c>
      <c r="E68">
        <v>0</v>
      </c>
      <c r="F68">
        <v>76843061</v>
      </c>
      <c r="G68">
        <v>0</v>
      </c>
      <c r="H68">
        <v>27</v>
      </c>
      <c r="I68">
        <v>3.298</v>
      </c>
      <c r="J68">
        <v>23.702000000000002</v>
      </c>
      <c r="K68">
        <v>0</v>
      </c>
      <c r="L68">
        <v>0</v>
      </c>
      <c r="M68">
        <v>0</v>
      </c>
      <c r="N68">
        <v>0</v>
      </c>
      <c r="O68">
        <v>2</v>
      </c>
      <c r="P68">
        <v>0</v>
      </c>
      <c r="Q68">
        <v>25.702000000000002</v>
      </c>
      <c r="R68">
        <v>0</v>
      </c>
      <c r="S68">
        <v>0</v>
      </c>
      <c r="T68">
        <v>0</v>
      </c>
      <c r="U68">
        <v>0</v>
      </c>
      <c r="V68">
        <v>0</v>
      </c>
      <c r="W68">
        <v>25.702000000000002</v>
      </c>
      <c r="X68">
        <v>39.726999999999997</v>
      </c>
      <c r="Y68">
        <v>3313669.31</v>
      </c>
      <c r="Z68">
        <v>1237409</v>
      </c>
    </row>
    <row r="69" spans="1:26" x14ac:dyDescent="0.25">
      <c r="A69" t="s">
        <v>218</v>
      </c>
      <c r="B69" t="s">
        <v>219</v>
      </c>
      <c r="C69" t="s">
        <v>220</v>
      </c>
      <c r="D69">
        <v>1274072300</v>
      </c>
      <c r="E69">
        <v>-4323700</v>
      </c>
      <c r="F69">
        <v>1269748600</v>
      </c>
      <c r="G69">
        <v>151370.57999999999</v>
      </c>
      <c r="H69">
        <v>27</v>
      </c>
      <c r="I69">
        <v>3.2410000000000001</v>
      </c>
      <c r="J69">
        <v>23.759</v>
      </c>
      <c r="K69">
        <v>0</v>
      </c>
      <c r="L69">
        <v>0</v>
      </c>
      <c r="M69">
        <v>0</v>
      </c>
      <c r="N69">
        <v>0</v>
      </c>
      <c r="O69">
        <v>13.101000000000001</v>
      </c>
      <c r="P69">
        <v>7.0999999999999994E-2</v>
      </c>
      <c r="Q69">
        <v>36.930999999999997</v>
      </c>
      <c r="R69">
        <v>10.468999999999999</v>
      </c>
      <c r="S69">
        <v>0</v>
      </c>
      <c r="T69">
        <v>0</v>
      </c>
      <c r="U69">
        <v>0</v>
      </c>
      <c r="V69">
        <v>0</v>
      </c>
      <c r="W69">
        <v>36.930999999999997</v>
      </c>
      <c r="X69">
        <v>45.942999999999998</v>
      </c>
      <c r="Y69">
        <v>63425868.539999999</v>
      </c>
      <c r="Z69">
        <v>26274638</v>
      </c>
    </row>
    <row r="70" spans="1:26" x14ac:dyDescent="0.25">
      <c r="A70" t="s">
        <v>221</v>
      </c>
      <c r="B70" t="s">
        <v>219</v>
      </c>
      <c r="C70" t="s">
        <v>222</v>
      </c>
      <c r="D70">
        <v>958617310</v>
      </c>
      <c r="E70">
        <v>-1975700</v>
      </c>
      <c r="F70">
        <v>956641610</v>
      </c>
      <c r="G70">
        <v>22171.54</v>
      </c>
      <c r="H70">
        <v>16.282</v>
      </c>
      <c r="I70">
        <v>9.5820000000000007</v>
      </c>
      <c r="J70">
        <v>6.7</v>
      </c>
      <c r="K70">
        <v>0</v>
      </c>
      <c r="L70">
        <v>0</v>
      </c>
      <c r="M70">
        <v>0</v>
      </c>
      <c r="N70">
        <v>0</v>
      </c>
      <c r="O70">
        <v>9.6159999999999997</v>
      </c>
      <c r="P70">
        <v>2.3E-2</v>
      </c>
      <c r="Q70">
        <v>16.338999999999999</v>
      </c>
      <c r="R70">
        <v>8.9770000000000003</v>
      </c>
      <c r="S70">
        <v>0</v>
      </c>
      <c r="T70">
        <v>0</v>
      </c>
      <c r="U70">
        <v>0</v>
      </c>
      <c r="V70">
        <v>0</v>
      </c>
      <c r="W70">
        <v>16.338999999999999</v>
      </c>
      <c r="X70">
        <v>46.587000000000003</v>
      </c>
      <c r="Y70">
        <v>44729359.560000002</v>
      </c>
      <c r="Z70">
        <v>38070535</v>
      </c>
    </row>
    <row r="71" spans="1:26" x14ac:dyDescent="0.25">
      <c r="A71" t="s">
        <v>223</v>
      </c>
      <c r="B71" t="s">
        <v>219</v>
      </c>
      <c r="C71" t="s">
        <v>224</v>
      </c>
      <c r="D71">
        <v>902625740</v>
      </c>
      <c r="E71">
        <v>0</v>
      </c>
      <c r="F71">
        <v>902625740</v>
      </c>
      <c r="G71">
        <v>8561.52</v>
      </c>
      <c r="H71">
        <v>4.3949999999999996</v>
      </c>
      <c r="I71">
        <v>0.16400000000000001</v>
      </c>
      <c r="J71">
        <v>4.2309999999999999</v>
      </c>
      <c r="K71">
        <v>0</v>
      </c>
      <c r="L71">
        <v>0</v>
      </c>
      <c r="M71">
        <v>0</v>
      </c>
      <c r="N71">
        <v>0</v>
      </c>
      <c r="O71">
        <v>2.4009999999999998</v>
      </c>
      <c r="P71">
        <v>8.9999999999999993E-3</v>
      </c>
      <c r="Q71">
        <v>6.641</v>
      </c>
      <c r="R71">
        <v>6.093</v>
      </c>
      <c r="S71">
        <v>0</v>
      </c>
      <c r="T71">
        <v>0</v>
      </c>
      <c r="U71">
        <v>0</v>
      </c>
      <c r="V71">
        <v>0</v>
      </c>
      <c r="W71">
        <v>6.641</v>
      </c>
      <c r="X71">
        <v>14.616</v>
      </c>
      <c r="Y71">
        <v>13294531.24</v>
      </c>
      <c r="Z71">
        <v>9377266</v>
      </c>
    </row>
    <row r="72" spans="1:26" x14ac:dyDescent="0.25">
      <c r="A72" t="s">
        <v>225</v>
      </c>
      <c r="B72" t="s">
        <v>226</v>
      </c>
      <c r="C72" t="s">
        <v>226</v>
      </c>
      <c r="D72">
        <v>380220813</v>
      </c>
      <c r="E72">
        <v>0</v>
      </c>
      <c r="F72">
        <v>380220813</v>
      </c>
      <c r="G72">
        <v>2786.9900000000002</v>
      </c>
      <c r="H72">
        <v>8.6059999999999999</v>
      </c>
      <c r="I72">
        <v>2.5310000000000001</v>
      </c>
      <c r="J72">
        <v>6.0750000000000002</v>
      </c>
      <c r="K72">
        <v>0</v>
      </c>
      <c r="L72">
        <v>0</v>
      </c>
      <c r="M72">
        <v>0</v>
      </c>
      <c r="N72">
        <v>0</v>
      </c>
      <c r="O72">
        <v>2.464</v>
      </c>
      <c r="P72">
        <v>7.0000000000000001E-3</v>
      </c>
      <c r="Q72">
        <v>8.5459999999999994</v>
      </c>
      <c r="R72">
        <v>0</v>
      </c>
      <c r="S72">
        <v>0.36199999999999999</v>
      </c>
      <c r="T72">
        <v>0</v>
      </c>
      <c r="U72">
        <v>0</v>
      </c>
      <c r="V72">
        <v>0</v>
      </c>
      <c r="W72">
        <v>8.9079999999999995</v>
      </c>
      <c r="X72">
        <v>8.9109999999999996</v>
      </c>
      <c r="Y72">
        <v>5108189.07</v>
      </c>
      <c r="Z72">
        <v>2638857</v>
      </c>
    </row>
    <row r="73" spans="1:26" x14ac:dyDescent="0.25">
      <c r="A73" t="s">
        <v>227</v>
      </c>
      <c r="B73" t="s">
        <v>228</v>
      </c>
      <c r="C73" t="s">
        <v>229</v>
      </c>
      <c r="D73">
        <v>122823480</v>
      </c>
      <c r="E73">
        <v>0</v>
      </c>
      <c r="F73">
        <v>122823480</v>
      </c>
      <c r="G73">
        <v>3576.8199999999997</v>
      </c>
      <c r="H73">
        <v>13.811</v>
      </c>
      <c r="I73">
        <v>0</v>
      </c>
      <c r="J73">
        <v>13.811</v>
      </c>
      <c r="K73">
        <v>0</v>
      </c>
      <c r="L73">
        <v>0</v>
      </c>
      <c r="M73">
        <v>0</v>
      </c>
      <c r="N73">
        <v>0</v>
      </c>
      <c r="O73">
        <v>8.9559999999999995</v>
      </c>
      <c r="P73">
        <v>2.3E-2</v>
      </c>
      <c r="Q73">
        <v>22.79</v>
      </c>
      <c r="R73">
        <v>7.2009999999999996</v>
      </c>
      <c r="S73">
        <v>0</v>
      </c>
      <c r="T73">
        <v>0</v>
      </c>
      <c r="U73">
        <v>0</v>
      </c>
      <c r="V73">
        <v>0</v>
      </c>
      <c r="W73">
        <v>22.79</v>
      </c>
      <c r="X73">
        <v>40.435000000000002</v>
      </c>
      <c r="Y73">
        <v>5105332.01</v>
      </c>
      <c r="Z73">
        <v>3002692.6</v>
      </c>
    </row>
    <row r="74" spans="1:26" x14ac:dyDescent="0.25">
      <c r="A74" t="s">
        <v>230</v>
      </c>
      <c r="B74" t="s">
        <v>228</v>
      </c>
      <c r="C74" t="s">
        <v>231</v>
      </c>
      <c r="D74">
        <v>831773830</v>
      </c>
      <c r="E74">
        <v>0</v>
      </c>
      <c r="F74">
        <v>831773830</v>
      </c>
      <c r="G74">
        <v>54496.84</v>
      </c>
      <c r="H74">
        <v>12.776999999999999</v>
      </c>
      <c r="I74">
        <v>0</v>
      </c>
      <c r="J74">
        <v>12.776999999999999</v>
      </c>
      <c r="K74">
        <v>0</v>
      </c>
      <c r="L74">
        <v>0</v>
      </c>
      <c r="M74">
        <v>0.94299999999999995</v>
      </c>
      <c r="N74">
        <v>0</v>
      </c>
      <c r="O74">
        <v>2.7770000000000001</v>
      </c>
      <c r="P74">
        <v>6.6000000000000003E-2</v>
      </c>
      <c r="Q74">
        <v>16.562999999999999</v>
      </c>
      <c r="R74">
        <v>7.8</v>
      </c>
      <c r="S74">
        <v>0.36099999999999999</v>
      </c>
      <c r="T74">
        <v>0</v>
      </c>
      <c r="U74">
        <v>0</v>
      </c>
      <c r="V74">
        <v>0</v>
      </c>
      <c r="W74">
        <v>16.923999999999999</v>
      </c>
      <c r="X74">
        <v>14.66</v>
      </c>
      <c r="Y74">
        <v>12919929.119999999</v>
      </c>
      <c r="Z74">
        <v>1565573</v>
      </c>
    </row>
    <row r="75" spans="1:26" x14ac:dyDescent="0.25">
      <c r="A75" t="s">
        <v>232</v>
      </c>
      <c r="B75" t="s">
        <v>233</v>
      </c>
      <c r="C75" t="s">
        <v>233</v>
      </c>
      <c r="D75">
        <v>777517113</v>
      </c>
      <c r="E75">
        <v>-13915920</v>
      </c>
      <c r="F75">
        <v>763601193</v>
      </c>
      <c r="G75">
        <v>43700</v>
      </c>
      <c r="H75">
        <v>15.736000000000001</v>
      </c>
      <c r="I75">
        <v>0</v>
      </c>
      <c r="J75">
        <v>15.736000000000001</v>
      </c>
      <c r="K75">
        <v>0</v>
      </c>
      <c r="L75">
        <v>0</v>
      </c>
      <c r="M75">
        <v>0</v>
      </c>
      <c r="N75">
        <v>0</v>
      </c>
      <c r="O75">
        <v>4.9749999999999996</v>
      </c>
      <c r="P75">
        <v>5.7000000000000002E-2</v>
      </c>
      <c r="Q75">
        <v>20.767999999999997</v>
      </c>
      <c r="R75">
        <v>12.23</v>
      </c>
      <c r="S75">
        <v>0</v>
      </c>
      <c r="T75">
        <v>0</v>
      </c>
      <c r="U75">
        <v>0</v>
      </c>
      <c r="V75">
        <v>0</v>
      </c>
      <c r="W75">
        <v>20.767999999999997</v>
      </c>
      <c r="X75">
        <v>25.154</v>
      </c>
      <c r="Y75">
        <v>19975143.93</v>
      </c>
      <c r="Z75">
        <v>7196020</v>
      </c>
    </row>
    <row r="76" spans="1:26" x14ac:dyDescent="0.25">
      <c r="A76" t="s">
        <v>234</v>
      </c>
      <c r="B76" t="s">
        <v>235</v>
      </c>
      <c r="C76" t="s">
        <v>235</v>
      </c>
      <c r="D76">
        <v>56488630</v>
      </c>
      <c r="E76">
        <v>0</v>
      </c>
      <c r="F76">
        <v>56488630</v>
      </c>
      <c r="G76">
        <v>0</v>
      </c>
      <c r="H76">
        <v>19.067</v>
      </c>
      <c r="I76">
        <v>0.46800000000000003</v>
      </c>
      <c r="J76">
        <v>18.599</v>
      </c>
      <c r="K76">
        <v>0</v>
      </c>
      <c r="L76">
        <v>0</v>
      </c>
      <c r="M76">
        <v>0</v>
      </c>
      <c r="N76">
        <v>0</v>
      </c>
      <c r="O76">
        <v>0</v>
      </c>
      <c r="P76">
        <v>0</v>
      </c>
      <c r="Q76">
        <v>18.599</v>
      </c>
      <c r="R76">
        <v>5.6449999999999996</v>
      </c>
      <c r="S76">
        <v>0</v>
      </c>
      <c r="T76">
        <v>0</v>
      </c>
      <c r="U76">
        <v>0</v>
      </c>
      <c r="V76">
        <v>0</v>
      </c>
      <c r="W76">
        <v>18.599</v>
      </c>
      <c r="X76">
        <v>27.123000000000001</v>
      </c>
      <c r="Y76">
        <v>1619685.66</v>
      </c>
      <c r="Z76">
        <v>481686</v>
      </c>
    </row>
    <row r="77" spans="1:26" x14ac:dyDescent="0.25">
      <c r="A77" t="s">
        <v>236</v>
      </c>
      <c r="B77" t="s">
        <v>237</v>
      </c>
      <c r="C77" t="s">
        <v>237</v>
      </c>
      <c r="D77">
        <v>112754331</v>
      </c>
      <c r="E77">
        <v>-338856</v>
      </c>
      <c r="F77">
        <v>112415475</v>
      </c>
      <c r="G77">
        <v>15867.87</v>
      </c>
      <c r="H77">
        <v>27</v>
      </c>
      <c r="I77">
        <v>1.2190000000000001</v>
      </c>
      <c r="J77">
        <v>25.780999999999999</v>
      </c>
      <c r="K77">
        <v>0</v>
      </c>
      <c r="L77">
        <v>0</v>
      </c>
      <c r="M77">
        <v>0</v>
      </c>
      <c r="N77">
        <v>0</v>
      </c>
      <c r="O77">
        <v>0</v>
      </c>
      <c r="P77">
        <v>0.14099999999999999</v>
      </c>
      <c r="Q77">
        <v>25.921999999999997</v>
      </c>
      <c r="R77">
        <v>9.532</v>
      </c>
      <c r="S77">
        <v>0</v>
      </c>
      <c r="T77">
        <v>0</v>
      </c>
      <c r="U77">
        <v>0</v>
      </c>
      <c r="V77">
        <v>0</v>
      </c>
      <c r="W77">
        <v>25.921999999999997</v>
      </c>
      <c r="X77">
        <v>50.658000000000001</v>
      </c>
      <c r="Y77">
        <v>5673908.8499999996</v>
      </c>
      <c r="Z77">
        <v>2647960</v>
      </c>
    </row>
    <row r="78" spans="1:26" x14ac:dyDescent="0.25">
      <c r="A78" t="s">
        <v>238</v>
      </c>
      <c r="B78" t="s">
        <v>237</v>
      </c>
      <c r="C78" t="s">
        <v>239</v>
      </c>
      <c r="D78">
        <v>33389183</v>
      </c>
      <c r="E78">
        <v>0</v>
      </c>
      <c r="F78">
        <v>33389183</v>
      </c>
      <c r="G78">
        <v>0</v>
      </c>
      <c r="H78">
        <v>27</v>
      </c>
      <c r="I78">
        <v>0</v>
      </c>
      <c r="J78">
        <v>27</v>
      </c>
      <c r="K78">
        <v>0</v>
      </c>
      <c r="L78">
        <v>0</v>
      </c>
      <c r="M78">
        <v>0</v>
      </c>
      <c r="N78">
        <v>0</v>
      </c>
      <c r="O78">
        <v>0</v>
      </c>
      <c r="P78">
        <v>0</v>
      </c>
      <c r="Q78">
        <v>27</v>
      </c>
      <c r="R78">
        <v>13.417999999999999</v>
      </c>
      <c r="S78">
        <v>0</v>
      </c>
      <c r="T78">
        <v>0</v>
      </c>
      <c r="U78">
        <v>0</v>
      </c>
      <c r="V78">
        <v>0</v>
      </c>
      <c r="W78">
        <v>27</v>
      </c>
      <c r="X78">
        <v>95.105999999999995</v>
      </c>
      <c r="Y78">
        <v>3129044.67</v>
      </c>
      <c r="Z78">
        <v>2168737</v>
      </c>
    </row>
    <row r="79" spans="1:26" x14ac:dyDescent="0.25">
      <c r="A79" t="s">
        <v>240</v>
      </c>
      <c r="B79" t="s">
        <v>241</v>
      </c>
      <c r="C79" t="s">
        <v>242</v>
      </c>
      <c r="D79">
        <v>88632077</v>
      </c>
      <c r="E79">
        <v>0</v>
      </c>
      <c r="F79">
        <v>88632077</v>
      </c>
      <c r="G79">
        <v>22579.100000000002</v>
      </c>
      <c r="H79">
        <v>23.041</v>
      </c>
      <c r="I79">
        <v>0</v>
      </c>
      <c r="J79">
        <v>23.041</v>
      </c>
      <c r="K79">
        <v>0</v>
      </c>
      <c r="L79">
        <v>0</v>
      </c>
      <c r="M79">
        <v>0</v>
      </c>
      <c r="N79">
        <v>0</v>
      </c>
      <c r="O79">
        <v>0</v>
      </c>
      <c r="P79">
        <v>0.254</v>
      </c>
      <c r="Q79">
        <v>23.295000000000002</v>
      </c>
      <c r="R79">
        <v>0</v>
      </c>
      <c r="S79">
        <v>0</v>
      </c>
      <c r="T79">
        <v>0</v>
      </c>
      <c r="U79">
        <v>0</v>
      </c>
      <c r="V79">
        <v>0</v>
      </c>
      <c r="W79">
        <v>23.295000000000002</v>
      </c>
      <c r="X79">
        <v>27.652999999999999</v>
      </c>
      <c r="Y79">
        <v>2784567.23</v>
      </c>
      <c r="Z79">
        <v>408646</v>
      </c>
    </row>
    <row r="80" spans="1:26" x14ac:dyDescent="0.25">
      <c r="A80" t="s">
        <v>243</v>
      </c>
      <c r="B80" t="s">
        <v>244</v>
      </c>
      <c r="C80" t="s">
        <v>244</v>
      </c>
      <c r="D80">
        <v>12028500067</v>
      </c>
      <c r="E80">
        <v>-514769570</v>
      </c>
      <c r="F80">
        <v>11513730497</v>
      </c>
      <c r="G80">
        <v>2536630.61</v>
      </c>
      <c r="H80">
        <v>27</v>
      </c>
      <c r="I80">
        <v>0</v>
      </c>
      <c r="J80">
        <v>27</v>
      </c>
      <c r="K80">
        <v>0</v>
      </c>
      <c r="L80">
        <v>0</v>
      </c>
      <c r="M80">
        <v>0</v>
      </c>
      <c r="N80">
        <v>0</v>
      </c>
      <c r="O80">
        <v>13.007</v>
      </c>
      <c r="P80">
        <v>0.22</v>
      </c>
      <c r="Q80">
        <v>40.226999999999997</v>
      </c>
      <c r="R80">
        <v>5.9059999999999997</v>
      </c>
      <c r="S80">
        <v>0</v>
      </c>
      <c r="T80">
        <v>0</v>
      </c>
      <c r="U80">
        <v>0</v>
      </c>
      <c r="V80">
        <v>0</v>
      </c>
      <c r="W80">
        <v>40.226999999999997</v>
      </c>
      <c r="X80">
        <v>64.701999999999998</v>
      </c>
      <c r="Y80">
        <v>772843770.21000004</v>
      </c>
      <c r="Z80">
        <v>434341832</v>
      </c>
    </row>
    <row r="81" spans="1:26" x14ac:dyDescent="0.25">
      <c r="A81" t="s">
        <v>245</v>
      </c>
      <c r="B81" t="s">
        <v>174</v>
      </c>
      <c r="C81" t="s">
        <v>246</v>
      </c>
      <c r="D81">
        <v>21902220</v>
      </c>
      <c r="E81">
        <v>0</v>
      </c>
      <c r="F81">
        <v>21902220</v>
      </c>
      <c r="G81">
        <v>75.39</v>
      </c>
      <c r="H81">
        <v>27</v>
      </c>
      <c r="I81">
        <v>2.8010000000000002</v>
      </c>
      <c r="J81">
        <v>24.199000000000002</v>
      </c>
      <c r="K81">
        <v>0</v>
      </c>
      <c r="L81">
        <v>0</v>
      </c>
      <c r="M81">
        <v>0</v>
      </c>
      <c r="N81">
        <v>0</v>
      </c>
      <c r="O81">
        <v>0</v>
      </c>
      <c r="P81">
        <v>3.0000000000000001E-3</v>
      </c>
      <c r="Q81">
        <v>24.202000000000002</v>
      </c>
      <c r="R81">
        <v>0</v>
      </c>
      <c r="S81">
        <v>0</v>
      </c>
      <c r="T81">
        <v>0</v>
      </c>
      <c r="U81">
        <v>0</v>
      </c>
      <c r="V81">
        <v>0</v>
      </c>
      <c r="W81">
        <v>24.202000000000002</v>
      </c>
      <c r="X81">
        <v>130.65899999999999</v>
      </c>
      <c r="Y81">
        <v>2950892.52</v>
      </c>
      <c r="Z81">
        <v>2331506</v>
      </c>
    </row>
    <row r="82" spans="1:26" x14ac:dyDescent="0.25">
      <c r="A82" t="s">
        <v>247</v>
      </c>
      <c r="B82" t="s">
        <v>174</v>
      </c>
      <c r="C82" t="s">
        <v>248</v>
      </c>
      <c r="D82">
        <v>17687840</v>
      </c>
      <c r="E82">
        <v>0</v>
      </c>
      <c r="F82">
        <v>17687840</v>
      </c>
      <c r="G82">
        <v>0</v>
      </c>
      <c r="H82">
        <v>27</v>
      </c>
      <c r="I82">
        <v>5.48</v>
      </c>
      <c r="J82">
        <v>21.52</v>
      </c>
      <c r="K82">
        <v>0</v>
      </c>
      <c r="L82">
        <v>0</v>
      </c>
      <c r="M82">
        <v>0</v>
      </c>
      <c r="N82">
        <v>0</v>
      </c>
      <c r="O82">
        <v>0</v>
      </c>
      <c r="P82">
        <v>0</v>
      </c>
      <c r="Q82">
        <v>21.52</v>
      </c>
      <c r="R82">
        <v>0</v>
      </c>
      <c r="S82">
        <v>0</v>
      </c>
      <c r="T82">
        <v>0</v>
      </c>
      <c r="U82">
        <v>0</v>
      </c>
      <c r="V82">
        <v>0</v>
      </c>
      <c r="W82">
        <v>21.52</v>
      </c>
      <c r="X82">
        <v>86.320999999999998</v>
      </c>
      <c r="Y82">
        <v>1590048.84</v>
      </c>
      <c r="Z82">
        <v>1146568</v>
      </c>
    </row>
    <row r="83" spans="1:26" x14ac:dyDescent="0.25">
      <c r="A83" t="s">
        <v>249</v>
      </c>
      <c r="B83" t="s">
        <v>139</v>
      </c>
      <c r="C83" t="s">
        <v>250</v>
      </c>
      <c r="D83">
        <v>42956593</v>
      </c>
      <c r="E83">
        <v>0</v>
      </c>
      <c r="F83">
        <v>42956593</v>
      </c>
      <c r="G83">
        <v>346.54</v>
      </c>
      <c r="H83">
        <v>27</v>
      </c>
      <c r="I83">
        <v>27</v>
      </c>
      <c r="J83">
        <v>27</v>
      </c>
      <c r="K83">
        <v>0</v>
      </c>
      <c r="L83">
        <v>0</v>
      </c>
      <c r="M83">
        <v>0</v>
      </c>
      <c r="N83">
        <v>0</v>
      </c>
      <c r="O83">
        <v>0</v>
      </c>
      <c r="P83">
        <v>0</v>
      </c>
      <c r="Q83">
        <v>27</v>
      </c>
      <c r="R83">
        <v>0</v>
      </c>
      <c r="S83">
        <v>0</v>
      </c>
      <c r="T83">
        <v>0</v>
      </c>
      <c r="U83">
        <v>0</v>
      </c>
      <c r="V83">
        <v>0</v>
      </c>
      <c r="W83">
        <v>27</v>
      </c>
      <c r="X83">
        <v>53.728999999999999</v>
      </c>
      <c r="Y83">
        <v>2411575.94</v>
      </c>
      <c r="Z83">
        <v>1147961</v>
      </c>
    </row>
    <row r="84" spans="1:26" x14ac:dyDescent="0.25">
      <c r="A84" t="s">
        <v>251</v>
      </c>
      <c r="B84" t="s">
        <v>139</v>
      </c>
      <c r="C84" t="s">
        <v>252</v>
      </c>
      <c r="D84">
        <v>32266074</v>
      </c>
      <c r="E84">
        <v>0</v>
      </c>
      <c r="F84">
        <v>32266074</v>
      </c>
      <c r="G84">
        <v>49.54</v>
      </c>
      <c r="H84">
        <v>24.334</v>
      </c>
      <c r="I84">
        <v>0</v>
      </c>
      <c r="J84">
        <v>24.334</v>
      </c>
      <c r="K84">
        <v>4.319</v>
      </c>
      <c r="L84">
        <v>0</v>
      </c>
      <c r="M84">
        <v>0</v>
      </c>
      <c r="N84">
        <v>0</v>
      </c>
      <c r="O84">
        <v>0</v>
      </c>
      <c r="P84">
        <v>0</v>
      </c>
      <c r="Q84">
        <v>20.015000000000001</v>
      </c>
      <c r="R84">
        <v>6.0880000000000001</v>
      </c>
      <c r="S84">
        <v>0</v>
      </c>
      <c r="T84">
        <v>0</v>
      </c>
      <c r="U84">
        <v>0</v>
      </c>
      <c r="V84">
        <v>0</v>
      </c>
      <c r="W84">
        <v>20.015000000000001</v>
      </c>
      <c r="X84">
        <v>71.391999999999996</v>
      </c>
      <c r="Y84">
        <v>2490848.86</v>
      </c>
      <c r="Z84">
        <v>1584047</v>
      </c>
    </row>
    <row r="85" spans="1:26" x14ac:dyDescent="0.25">
      <c r="A85" t="s">
        <v>253</v>
      </c>
      <c r="B85" t="s">
        <v>139</v>
      </c>
      <c r="C85" t="s">
        <v>254</v>
      </c>
      <c r="D85">
        <v>23013186</v>
      </c>
      <c r="E85">
        <v>0</v>
      </c>
      <c r="F85">
        <v>23013186</v>
      </c>
      <c r="G85">
        <v>1688.49</v>
      </c>
      <c r="H85">
        <v>27</v>
      </c>
      <c r="I85">
        <v>0</v>
      </c>
      <c r="J85">
        <v>27</v>
      </c>
      <c r="K85">
        <v>0</v>
      </c>
      <c r="L85">
        <v>0</v>
      </c>
      <c r="M85">
        <v>0</v>
      </c>
      <c r="N85">
        <v>0</v>
      </c>
      <c r="O85">
        <v>7.5</v>
      </c>
      <c r="P85">
        <v>0</v>
      </c>
      <c r="Q85">
        <v>34.5</v>
      </c>
      <c r="R85">
        <v>0</v>
      </c>
      <c r="S85">
        <v>0</v>
      </c>
      <c r="T85">
        <v>0</v>
      </c>
      <c r="U85">
        <v>0</v>
      </c>
      <c r="V85">
        <v>0</v>
      </c>
      <c r="W85">
        <v>34.5</v>
      </c>
      <c r="X85">
        <v>137.39099999999999</v>
      </c>
      <c r="Y85">
        <v>3239768.81</v>
      </c>
      <c r="Z85">
        <v>2543783</v>
      </c>
    </row>
    <row r="86" spans="1:26" x14ac:dyDescent="0.25">
      <c r="A86" t="s">
        <v>255</v>
      </c>
      <c r="B86" t="s">
        <v>139</v>
      </c>
      <c r="C86" t="s">
        <v>256</v>
      </c>
      <c r="D86">
        <v>17435050</v>
      </c>
      <c r="E86">
        <v>0</v>
      </c>
      <c r="F86">
        <v>17435050</v>
      </c>
      <c r="G86">
        <v>298.31</v>
      </c>
      <c r="H86">
        <v>27</v>
      </c>
      <c r="I86">
        <v>2.8119999999999998</v>
      </c>
      <c r="J86">
        <v>24.187999999999999</v>
      </c>
      <c r="K86">
        <v>0</v>
      </c>
      <c r="L86">
        <v>0</v>
      </c>
      <c r="M86">
        <v>0</v>
      </c>
      <c r="N86">
        <v>0</v>
      </c>
      <c r="O86">
        <v>14.2</v>
      </c>
      <c r="P86">
        <v>1.7000000000000001E-2</v>
      </c>
      <c r="Q86">
        <v>38.405000000000001</v>
      </c>
      <c r="R86">
        <v>0</v>
      </c>
      <c r="S86">
        <v>0</v>
      </c>
      <c r="T86">
        <v>0</v>
      </c>
      <c r="U86">
        <v>0</v>
      </c>
      <c r="V86">
        <v>0</v>
      </c>
      <c r="W86">
        <v>38.405000000000001</v>
      </c>
      <c r="X86">
        <v>114.437</v>
      </c>
      <c r="Y86">
        <v>2032511.16</v>
      </c>
      <c r="Z86">
        <v>1574507</v>
      </c>
    </row>
    <row r="87" spans="1:26" x14ac:dyDescent="0.25">
      <c r="A87" t="s">
        <v>257</v>
      </c>
      <c r="B87" t="s">
        <v>139</v>
      </c>
      <c r="C87" t="s">
        <v>258</v>
      </c>
      <c r="D87">
        <v>108516191</v>
      </c>
      <c r="E87">
        <v>0</v>
      </c>
      <c r="F87">
        <v>108516191</v>
      </c>
      <c r="G87">
        <v>2894.39</v>
      </c>
      <c r="H87">
        <v>27</v>
      </c>
      <c r="I87">
        <v>0.82</v>
      </c>
      <c r="J87">
        <v>26.18</v>
      </c>
      <c r="K87">
        <v>0</v>
      </c>
      <c r="L87">
        <v>0</v>
      </c>
      <c r="M87">
        <v>0</v>
      </c>
      <c r="N87">
        <v>0</v>
      </c>
      <c r="O87">
        <v>3.5150000000000001</v>
      </c>
      <c r="P87">
        <v>2.7E-2</v>
      </c>
      <c r="Q87">
        <v>29.722000000000001</v>
      </c>
      <c r="R87">
        <v>0</v>
      </c>
      <c r="S87">
        <v>0</v>
      </c>
      <c r="T87">
        <v>0</v>
      </c>
      <c r="U87">
        <v>0</v>
      </c>
      <c r="V87">
        <v>0</v>
      </c>
      <c r="W87">
        <v>29.722000000000001</v>
      </c>
      <c r="X87">
        <v>65.900000000000006</v>
      </c>
      <c r="Y87">
        <v>7403011.4000000004</v>
      </c>
      <c r="Z87">
        <v>4310511</v>
      </c>
    </row>
    <row r="88" spans="1:26" x14ac:dyDescent="0.25">
      <c r="A88" t="s">
        <v>259</v>
      </c>
      <c r="B88" t="s">
        <v>260</v>
      </c>
      <c r="C88" t="s">
        <v>260</v>
      </c>
      <c r="D88">
        <v>310790445</v>
      </c>
      <c r="E88">
        <v>-1384314</v>
      </c>
      <c r="F88">
        <v>309406131</v>
      </c>
      <c r="G88">
        <v>17395</v>
      </c>
      <c r="H88">
        <v>26.513999999999999</v>
      </c>
      <c r="I88">
        <v>1.0449999999999999</v>
      </c>
      <c r="J88">
        <v>25.469000000000001</v>
      </c>
      <c r="K88">
        <v>0</v>
      </c>
      <c r="L88">
        <v>0</v>
      </c>
      <c r="M88">
        <v>0</v>
      </c>
      <c r="N88">
        <v>0</v>
      </c>
      <c r="O88">
        <v>2.1589999999999998</v>
      </c>
      <c r="P88">
        <v>5.6000000000000001E-2</v>
      </c>
      <c r="Q88">
        <v>27.684000000000001</v>
      </c>
      <c r="R88">
        <v>6.1539999999999999</v>
      </c>
      <c r="S88">
        <v>0</v>
      </c>
      <c r="T88">
        <v>0</v>
      </c>
      <c r="U88">
        <v>0</v>
      </c>
      <c r="V88">
        <v>0</v>
      </c>
      <c r="W88">
        <v>27.684000000000001</v>
      </c>
      <c r="X88">
        <v>32.200000000000003</v>
      </c>
      <c r="Y88">
        <v>10361280.5</v>
      </c>
      <c r="Z88">
        <v>2082896</v>
      </c>
    </row>
    <row r="89" spans="1:26" x14ac:dyDescent="0.25">
      <c r="A89" t="s">
        <v>261</v>
      </c>
      <c r="B89" t="s">
        <v>262</v>
      </c>
      <c r="C89" t="s">
        <v>263</v>
      </c>
      <c r="D89">
        <v>1414177160</v>
      </c>
      <c r="E89">
        <v>-2642207</v>
      </c>
      <c r="F89">
        <v>1411534953</v>
      </c>
      <c r="G89">
        <v>239515</v>
      </c>
      <c r="H89">
        <v>12.747999999999999</v>
      </c>
      <c r="I89">
        <v>4.1470000000000002</v>
      </c>
      <c r="J89">
        <v>8.6010000000000009</v>
      </c>
      <c r="K89">
        <v>0</v>
      </c>
      <c r="L89">
        <v>0</v>
      </c>
      <c r="M89">
        <v>1.857</v>
      </c>
      <c r="N89">
        <v>0</v>
      </c>
      <c r="O89">
        <v>8.5709999999999997</v>
      </c>
      <c r="P89">
        <v>0.17</v>
      </c>
      <c r="Q89">
        <v>19.199000000000002</v>
      </c>
      <c r="R89">
        <v>5.7759999999999998</v>
      </c>
      <c r="S89">
        <v>0</v>
      </c>
      <c r="T89">
        <v>0</v>
      </c>
      <c r="U89">
        <v>0</v>
      </c>
      <c r="V89">
        <v>0</v>
      </c>
      <c r="W89">
        <v>19.199000000000002</v>
      </c>
      <c r="X89">
        <v>40.146000000000001</v>
      </c>
      <c r="Y89">
        <v>57748531.310000002</v>
      </c>
      <c r="Z89">
        <v>58881370</v>
      </c>
    </row>
    <row r="90" spans="1:26" x14ac:dyDescent="0.25">
      <c r="A90" t="s">
        <v>264</v>
      </c>
      <c r="B90" t="s">
        <v>262</v>
      </c>
      <c r="C90" t="s">
        <v>265</v>
      </c>
      <c r="D90">
        <v>219233740</v>
      </c>
      <c r="E90">
        <v>0</v>
      </c>
      <c r="F90">
        <v>219233740</v>
      </c>
      <c r="G90">
        <v>2750</v>
      </c>
      <c r="H90">
        <v>19.373000000000001</v>
      </c>
      <c r="I90">
        <v>9.1440000000000001</v>
      </c>
      <c r="J90">
        <v>10.228999999999999</v>
      </c>
      <c r="K90">
        <v>0</v>
      </c>
      <c r="L90">
        <v>0</v>
      </c>
      <c r="M90">
        <v>0.157</v>
      </c>
      <c r="N90">
        <v>0</v>
      </c>
      <c r="O90">
        <v>8.5570000000000004</v>
      </c>
      <c r="P90">
        <v>1.2999999999999999E-2</v>
      </c>
      <c r="Q90">
        <v>18.956</v>
      </c>
      <c r="R90">
        <v>15.212</v>
      </c>
      <c r="S90">
        <v>0</v>
      </c>
      <c r="T90">
        <v>0</v>
      </c>
      <c r="U90">
        <v>0</v>
      </c>
      <c r="V90">
        <v>0</v>
      </c>
      <c r="W90">
        <v>18.956</v>
      </c>
      <c r="X90">
        <v>62.156999999999996</v>
      </c>
      <c r="Y90">
        <v>14111193.9</v>
      </c>
      <c r="Z90">
        <v>11611883</v>
      </c>
    </row>
    <row r="91" spans="1:26" x14ac:dyDescent="0.25">
      <c r="A91" t="s">
        <v>266</v>
      </c>
      <c r="B91" t="s">
        <v>262</v>
      </c>
      <c r="C91" t="s">
        <v>267</v>
      </c>
      <c r="D91">
        <v>268860772</v>
      </c>
      <c r="E91">
        <v>0</v>
      </c>
      <c r="F91">
        <v>268860772</v>
      </c>
      <c r="G91">
        <v>5666.1</v>
      </c>
      <c r="H91">
        <v>7.3310000000000004</v>
      </c>
      <c r="I91">
        <v>3.0569999999999999</v>
      </c>
      <c r="J91">
        <v>4.274</v>
      </c>
      <c r="K91">
        <v>0</v>
      </c>
      <c r="L91">
        <v>0</v>
      </c>
      <c r="M91">
        <v>0</v>
      </c>
      <c r="N91">
        <v>0</v>
      </c>
      <c r="O91">
        <v>4.0910000000000002</v>
      </c>
      <c r="P91">
        <v>8.9999999999999993E-3</v>
      </c>
      <c r="Q91">
        <v>8.3740000000000006</v>
      </c>
      <c r="R91">
        <v>11.381</v>
      </c>
      <c r="S91">
        <v>0</v>
      </c>
      <c r="T91">
        <v>0</v>
      </c>
      <c r="U91">
        <v>0</v>
      </c>
      <c r="V91">
        <v>0</v>
      </c>
      <c r="W91">
        <v>8.3740000000000006</v>
      </c>
      <c r="X91">
        <v>31.646000000000001</v>
      </c>
      <c r="Y91">
        <v>8571895.0299999993</v>
      </c>
      <c r="Z91">
        <v>7361652</v>
      </c>
    </row>
    <row r="92" spans="1:26" x14ac:dyDescent="0.25">
      <c r="A92" t="s">
        <v>268</v>
      </c>
      <c r="B92" t="s">
        <v>269</v>
      </c>
      <c r="C92" t="s">
        <v>270</v>
      </c>
      <c r="D92">
        <v>4143175927</v>
      </c>
      <c r="E92">
        <v>-232547024</v>
      </c>
      <c r="F92">
        <v>3910628903</v>
      </c>
      <c r="G92">
        <v>1051676.3400000001</v>
      </c>
      <c r="H92">
        <v>27</v>
      </c>
      <c r="I92">
        <v>0</v>
      </c>
      <c r="J92">
        <v>27</v>
      </c>
      <c r="K92">
        <v>0</v>
      </c>
      <c r="L92">
        <v>0</v>
      </c>
      <c r="M92">
        <v>0</v>
      </c>
      <c r="N92">
        <v>0</v>
      </c>
      <c r="O92">
        <v>15.95</v>
      </c>
      <c r="P92">
        <v>0.26900000000000002</v>
      </c>
      <c r="Q92">
        <v>43.219000000000001</v>
      </c>
      <c r="R92">
        <v>12.646000000000001</v>
      </c>
      <c r="S92">
        <v>0</v>
      </c>
      <c r="T92">
        <v>0</v>
      </c>
      <c r="U92">
        <v>0</v>
      </c>
      <c r="V92">
        <v>0</v>
      </c>
      <c r="W92">
        <v>43.219000000000001</v>
      </c>
      <c r="X92">
        <v>75.923000000000002</v>
      </c>
      <c r="Y92">
        <v>305427921.31999999</v>
      </c>
      <c r="Z92">
        <v>191336733</v>
      </c>
    </row>
    <row r="93" spans="1:26" x14ac:dyDescent="0.25">
      <c r="A93" t="s">
        <v>271</v>
      </c>
      <c r="B93" t="s">
        <v>269</v>
      </c>
      <c r="C93" t="s">
        <v>272</v>
      </c>
      <c r="D93">
        <v>2856347479</v>
      </c>
      <c r="E93">
        <v>-173740516</v>
      </c>
      <c r="F93">
        <v>2682606963</v>
      </c>
      <c r="G93">
        <v>655114.92000000004</v>
      </c>
      <c r="H93">
        <v>27</v>
      </c>
      <c r="I93">
        <v>2.64</v>
      </c>
      <c r="J93">
        <v>24.36</v>
      </c>
      <c r="K93">
        <v>0</v>
      </c>
      <c r="L93">
        <v>0</v>
      </c>
      <c r="M93">
        <v>0</v>
      </c>
      <c r="N93">
        <v>0</v>
      </c>
      <c r="O93">
        <v>12.834</v>
      </c>
      <c r="P93">
        <v>0.24399999999999999</v>
      </c>
      <c r="Q93">
        <v>37.438000000000002</v>
      </c>
      <c r="R93">
        <v>7.133</v>
      </c>
      <c r="S93">
        <v>0</v>
      </c>
      <c r="T93">
        <v>0</v>
      </c>
      <c r="U93">
        <v>0</v>
      </c>
      <c r="V93">
        <v>0</v>
      </c>
      <c r="W93">
        <v>37.438000000000002</v>
      </c>
      <c r="X93">
        <v>51.011000000000003</v>
      </c>
      <c r="Y93">
        <v>141314272.66</v>
      </c>
      <c r="Z93">
        <v>71556559</v>
      </c>
    </row>
    <row r="94" spans="1:26" x14ac:dyDescent="0.25">
      <c r="A94" t="s">
        <v>273</v>
      </c>
      <c r="B94" t="s">
        <v>269</v>
      </c>
      <c r="C94" t="s">
        <v>274</v>
      </c>
      <c r="D94">
        <v>466832311</v>
      </c>
      <c r="E94">
        <v>0</v>
      </c>
      <c r="F94">
        <v>466832311</v>
      </c>
      <c r="G94">
        <v>73038.600000000006</v>
      </c>
      <c r="H94">
        <v>20.548999999999999</v>
      </c>
      <c r="I94">
        <v>0</v>
      </c>
      <c r="J94">
        <v>20.548999999999999</v>
      </c>
      <c r="K94">
        <v>0</v>
      </c>
      <c r="L94">
        <v>0</v>
      </c>
      <c r="M94">
        <v>0</v>
      </c>
      <c r="N94">
        <v>0</v>
      </c>
      <c r="O94">
        <v>6.4279999999999999</v>
      </c>
      <c r="P94">
        <v>0.156</v>
      </c>
      <c r="Q94">
        <v>27.132999999999999</v>
      </c>
      <c r="R94">
        <v>3.6629999999999998</v>
      </c>
      <c r="S94">
        <v>0</v>
      </c>
      <c r="T94">
        <v>0</v>
      </c>
      <c r="U94">
        <v>0</v>
      </c>
      <c r="V94">
        <v>0</v>
      </c>
      <c r="W94">
        <v>27.132999999999999</v>
      </c>
      <c r="X94">
        <v>21.763000000000002</v>
      </c>
      <c r="Y94">
        <v>10850547.109999999</v>
      </c>
      <c r="Z94">
        <v>566208</v>
      </c>
    </row>
    <row r="95" spans="1:26" x14ac:dyDescent="0.25">
      <c r="A95" t="s">
        <v>275</v>
      </c>
      <c r="B95" t="s">
        <v>125</v>
      </c>
      <c r="C95" t="s">
        <v>276</v>
      </c>
      <c r="D95">
        <v>147824343</v>
      </c>
      <c r="E95">
        <v>-410728</v>
      </c>
      <c r="F95">
        <v>147413615</v>
      </c>
      <c r="G95">
        <v>460.33</v>
      </c>
      <c r="H95">
        <v>27</v>
      </c>
      <c r="I95">
        <v>12.573</v>
      </c>
      <c r="J95">
        <v>14.427</v>
      </c>
      <c r="K95">
        <v>0</v>
      </c>
      <c r="L95">
        <v>0</v>
      </c>
      <c r="M95">
        <v>0</v>
      </c>
      <c r="N95">
        <v>0</v>
      </c>
      <c r="O95">
        <v>0</v>
      </c>
      <c r="P95">
        <v>3.0000000000000001E-3</v>
      </c>
      <c r="Q95">
        <v>14.43</v>
      </c>
      <c r="R95">
        <v>3.847</v>
      </c>
      <c r="S95">
        <v>0</v>
      </c>
      <c r="T95">
        <v>0</v>
      </c>
      <c r="U95">
        <v>0</v>
      </c>
      <c r="V95">
        <v>0</v>
      </c>
      <c r="W95">
        <v>14.43</v>
      </c>
      <c r="X95">
        <v>64.061000000000007</v>
      </c>
      <c r="Y95">
        <v>9667081.9700000007</v>
      </c>
      <c r="Z95">
        <v>7318030</v>
      </c>
    </row>
    <row r="96" spans="1:26" x14ac:dyDescent="0.25">
      <c r="A96" t="s">
        <v>277</v>
      </c>
      <c r="B96" t="s">
        <v>125</v>
      </c>
      <c r="C96" t="s">
        <v>278</v>
      </c>
      <c r="D96">
        <v>125418805</v>
      </c>
      <c r="E96">
        <v>0</v>
      </c>
      <c r="F96">
        <v>125418805</v>
      </c>
      <c r="G96">
        <v>67.25</v>
      </c>
      <c r="H96">
        <v>4.1689999999999996</v>
      </c>
      <c r="I96">
        <v>0.48899999999999999</v>
      </c>
      <c r="J96">
        <v>3.68</v>
      </c>
      <c r="K96">
        <v>0</v>
      </c>
      <c r="L96">
        <v>0</v>
      </c>
      <c r="M96">
        <v>0.628</v>
      </c>
      <c r="N96">
        <v>0</v>
      </c>
      <c r="O96">
        <v>2.7909999999999999</v>
      </c>
      <c r="P96">
        <v>1E-3</v>
      </c>
      <c r="Q96">
        <v>7.1000000000000005</v>
      </c>
      <c r="R96">
        <v>7.4950000000000001</v>
      </c>
      <c r="S96">
        <v>0.996</v>
      </c>
      <c r="T96">
        <v>0</v>
      </c>
      <c r="U96">
        <v>0</v>
      </c>
      <c r="V96">
        <v>0</v>
      </c>
      <c r="W96">
        <v>8.0960000000000001</v>
      </c>
      <c r="X96">
        <v>26.396999999999998</v>
      </c>
      <c r="Y96">
        <v>3354540.33</v>
      </c>
      <c r="Z96">
        <v>2849788</v>
      </c>
    </row>
    <row r="97" spans="1:26" x14ac:dyDescent="0.25">
      <c r="A97" t="s">
        <v>279</v>
      </c>
      <c r="B97" t="s">
        <v>125</v>
      </c>
      <c r="C97" t="s">
        <v>280</v>
      </c>
      <c r="D97">
        <v>55528664</v>
      </c>
      <c r="E97">
        <v>-50764</v>
      </c>
      <c r="F97">
        <v>55477900</v>
      </c>
      <c r="G97">
        <v>207.43</v>
      </c>
      <c r="H97">
        <v>27</v>
      </c>
      <c r="I97">
        <v>2.3420000000000001</v>
      </c>
      <c r="J97">
        <v>24.658000000000001</v>
      </c>
      <c r="K97">
        <v>0</v>
      </c>
      <c r="L97">
        <v>0</v>
      </c>
      <c r="M97">
        <v>0</v>
      </c>
      <c r="N97">
        <v>0</v>
      </c>
      <c r="O97">
        <v>0</v>
      </c>
      <c r="P97">
        <v>4.0000000000000001E-3</v>
      </c>
      <c r="Q97">
        <v>24.662000000000003</v>
      </c>
      <c r="R97">
        <v>4.5</v>
      </c>
      <c r="S97">
        <v>0</v>
      </c>
      <c r="T97">
        <v>0</v>
      </c>
      <c r="U97">
        <v>0</v>
      </c>
      <c r="V97">
        <v>0</v>
      </c>
      <c r="W97">
        <v>24.662000000000003</v>
      </c>
      <c r="X97">
        <v>72.191999999999993</v>
      </c>
      <c r="Y97">
        <v>4217199.87</v>
      </c>
      <c r="Z97">
        <v>2636212</v>
      </c>
    </row>
    <row r="98" spans="1:26" x14ac:dyDescent="0.25">
      <c r="A98" t="s">
        <v>281</v>
      </c>
      <c r="B98" t="s">
        <v>125</v>
      </c>
      <c r="C98" t="s">
        <v>282</v>
      </c>
      <c r="D98">
        <v>52766447</v>
      </c>
      <c r="E98">
        <v>0</v>
      </c>
      <c r="F98">
        <v>52766447</v>
      </c>
      <c r="G98">
        <v>88.89</v>
      </c>
      <c r="H98">
        <v>23.288</v>
      </c>
      <c r="I98">
        <v>12.768000000000001</v>
      </c>
      <c r="J98">
        <v>10.52</v>
      </c>
      <c r="K98">
        <v>0</v>
      </c>
      <c r="L98">
        <v>0</v>
      </c>
      <c r="M98">
        <v>0.56200000000000006</v>
      </c>
      <c r="N98">
        <v>0</v>
      </c>
      <c r="O98">
        <v>0</v>
      </c>
      <c r="P98">
        <v>2E-3</v>
      </c>
      <c r="Q98">
        <v>11.084</v>
      </c>
      <c r="R98">
        <v>0</v>
      </c>
      <c r="S98">
        <v>0</v>
      </c>
      <c r="T98">
        <v>0</v>
      </c>
      <c r="U98">
        <v>0</v>
      </c>
      <c r="V98">
        <v>0</v>
      </c>
      <c r="W98">
        <v>11.084</v>
      </c>
      <c r="X98">
        <v>36.118000000000002</v>
      </c>
      <c r="Y98">
        <v>1969085.4</v>
      </c>
      <c r="Z98">
        <v>1350583</v>
      </c>
    </row>
    <row r="99" spans="1:26" x14ac:dyDescent="0.25">
      <c r="A99" t="s">
        <v>283</v>
      </c>
      <c r="B99" t="s">
        <v>125</v>
      </c>
      <c r="C99" t="s">
        <v>284</v>
      </c>
      <c r="D99">
        <v>19864971</v>
      </c>
      <c r="E99">
        <v>0</v>
      </c>
      <c r="F99">
        <v>19864971</v>
      </c>
      <c r="G99">
        <v>102.99</v>
      </c>
      <c r="H99">
        <v>21.616</v>
      </c>
      <c r="I99">
        <v>0</v>
      </c>
      <c r="J99">
        <v>21.616</v>
      </c>
      <c r="K99">
        <v>0</v>
      </c>
      <c r="L99">
        <v>0</v>
      </c>
      <c r="M99">
        <v>0</v>
      </c>
      <c r="N99">
        <v>0</v>
      </c>
      <c r="O99">
        <v>6.64</v>
      </c>
      <c r="P99">
        <v>0</v>
      </c>
      <c r="Q99">
        <v>28.256</v>
      </c>
      <c r="R99">
        <v>0</v>
      </c>
      <c r="S99">
        <v>0</v>
      </c>
      <c r="T99">
        <v>0</v>
      </c>
      <c r="U99">
        <v>0</v>
      </c>
      <c r="V99">
        <v>0</v>
      </c>
      <c r="W99">
        <v>28.256</v>
      </c>
      <c r="X99">
        <v>224.261</v>
      </c>
      <c r="Y99">
        <v>4496356.8899999997</v>
      </c>
      <c r="Z99">
        <v>4024605</v>
      </c>
    </row>
    <row r="100" spans="1:26" x14ac:dyDescent="0.25">
      <c r="A100" t="s">
        <v>285</v>
      </c>
      <c r="B100" t="s">
        <v>125</v>
      </c>
      <c r="C100" t="s">
        <v>286</v>
      </c>
      <c r="D100">
        <v>25512170</v>
      </c>
      <c r="E100">
        <v>0</v>
      </c>
      <c r="F100">
        <v>25512170</v>
      </c>
      <c r="G100">
        <v>60.4</v>
      </c>
      <c r="H100">
        <v>27</v>
      </c>
      <c r="I100">
        <v>14.021000000000001</v>
      </c>
      <c r="J100">
        <v>12.978999999999999</v>
      </c>
      <c r="K100">
        <v>0</v>
      </c>
      <c r="L100">
        <v>0</v>
      </c>
      <c r="M100">
        <v>1.111</v>
      </c>
      <c r="N100">
        <v>0</v>
      </c>
      <c r="O100">
        <v>6.7279999999999998</v>
      </c>
      <c r="P100">
        <v>2E-3</v>
      </c>
      <c r="Q100">
        <v>20.819999999999997</v>
      </c>
      <c r="R100">
        <v>9.0150000000000006</v>
      </c>
      <c r="S100">
        <v>0</v>
      </c>
      <c r="T100">
        <v>0</v>
      </c>
      <c r="U100">
        <v>0</v>
      </c>
      <c r="V100">
        <v>0</v>
      </c>
      <c r="W100">
        <v>20.819999999999997</v>
      </c>
      <c r="X100">
        <v>35.000999999999998</v>
      </c>
      <c r="Y100">
        <v>927869.74</v>
      </c>
      <c r="Z100">
        <v>561808</v>
      </c>
    </row>
    <row r="101" spans="1:26" x14ac:dyDescent="0.25">
      <c r="A101" t="s">
        <v>287</v>
      </c>
      <c r="B101" t="s">
        <v>288</v>
      </c>
      <c r="C101" t="s">
        <v>289</v>
      </c>
      <c r="D101">
        <v>71534994</v>
      </c>
      <c r="E101">
        <v>0</v>
      </c>
      <c r="F101">
        <v>71534994</v>
      </c>
      <c r="G101">
        <v>795.62</v>
      </c>
      <c r="H101">
        <v>17.379000000000001</v>
      </c>
      <c r="I101">
        <v>0</v>
      </c>
      <c r="J101">
        <v>17.379000000000001</v>
      </c>
      <c r="K101">
        <v>0</v>
      </c>
      <c r="L101">
        <v>0</v>
      </c>
      <c r="M101">
        <v>0</v>
      </c>
      <c r="N101">
        <v>0</v>
      </c>
      <c r="O101">
        <v>0</v>
      </c>
      <c r="P101">
        <v>0</v>
      </c>
      <c r="Q101">
        <v>17.379000000000001</v>
      </c>
      <c r="R101">
        <v>6.9470000000000001</v>
      </c>
      <c r="S101">
        <v>0</v>
      </c>
      <c r="T101">
        <v>0</v>
      </c>
      <c r="U101">
        <v>0</v>
      </c>
      <c r="V101">
        <v>0</v>
      </c>
      <c r="W101">
        <v>17.379000000000001</v>
      </c>
      <c r="X101">
        <v>41.862000000000002</v>
      </c>
      <c r="Y101">
        <v>3123676.14</v>
      </c>
      <c r="Z101">
        <v>1751380</v>
      </c>
    </row>
    <row r="102" spans="1:26" x14ac:dyDescent="0.25">
      <c r="A102" t="s">
        <v>290</v>
      </c>
      <c r="B102" t="s">
        <v>288</v>
      </c>
      <c r="C102" t="s">
        <v>291</v>
      </c>
      <c r="D102">
        <v>84235113</v>
      </c>
      <c r="E102">
        <v>0</v>
      </c>
      <c r="F102">
        <v>84235113</v>
      </c>
      <c r="G102">
        <v>2111.7200000000003</v>
      </c>
      <c r="H102">
        <v>27</v>
      </c>
      <c r="I102">
        <v>3.1760000000000002</v>
      </c>
      <c r="J102">
        <v>23.824000000000002</v>
      </c>
      <c r="K102">
        <v>0</v>
      </c>
      <c r="L102">
        <v>0</v>
      </c>
      <c r="M102">
        <v>0</v>
      </c>
      <c r="N102">
        <v>0</v>
      </c>
      <c r="O102">
        <v>0</v>
      </c>
      <c r="P102">
        <v>1.9E-2</v>
      </c>
      <c r="Q102">
        <v>23.843</v>
      </c>
      <c r="R102">
        <v>6.3730000000000002</v>
      </c>
      <c r="S102">
        <v>0</v>
      </c>
      <c r="T102">
        <v>0</v>
      </c>
      <c r="U102">
        <v>0</v>
      </c>
      <c r="V102">
        <v>0</v>
      </c>
      <c r="W102">
        <v>23.843</v>
      </c>
      <c r="X102">
        <v>58.235999999999997</v>
      </c>
      <c r="Y102">
        <v>5113049.0199999996</v>
      </c>
      <c r="Z102">
        <v>2897640</v>
      </c>
    </row>
    <row r="103" spans="1:26" x14ac:dyDescent="0.25">
      <c r="A103" t="s">
        <v>292</v>
      </c>
      <c r="B103" t="s">
        <v>288</v>
      </c>
      <c r="C103" t="s">
        <v>293</v>
      </c>
      <c r="D103">
        <v>6504618</v>
      </c>
      <c r="E103">
        <v>0</v>
      </c>
      <c r="F103">
        <v>6504618</v>
      </c>
      <c r="G103">
        <v>3.83</v>
      </c>
      <c r="H103">
        <v>27</v>
      </c>
      <c r="I103">
        <v>0</v>
      </c>
      <c r="J103">
        <v>27</v>
      </c>
      <c r="K103">
        <v>0</v>
      </c>
      <c r="L103">
        <v>0</v>
      </c>
      <c r="M103">
        <v>0</v>
      </c>
      <c r="N103">
        <v>0</v>
      </c>
      <c r="O103">
        <v>0</v>
      </c>
      <c r="P103">
        <v>0</v>
      </c>
      <c r="Q103">
        <v>27</v>
      </c>
      <c r="R103">
        <v>0</v>
      </c>
      <c r="S103">
        <v>0</v>
      </c>
      <c r="T103">
        <v>0</v>
      </c>
      <c r="U103">
        <v>0</v>
      </c>
      <c r="V103">
        <v>0</v>
      </c>
      <c r="W103">
        <v>27</v>
      </c>
      <c r="X103">
        <v>153.04</v>
      </c>
      <c r="Y103">
        <v>1012983.36</v>
      </c>
      <c r="Z103">
        <v>818133</v>
      </c>
    </row>
    <row r="104" spans="1:26" x14ac:dyDescent="0.25">
      <c r="A104" t="s">
        <v>294</v>
      </c>
      <c r="B104" t="s">
        <v>295</v>
      </c>
      <c r="C104" t="s">
        <v>296</v>
      </c>
      <c r="D104">
        <v>237622760</v>
      </c>
      <c r="E104">
        <v>-7143910</v>
      </c>
      <c r="F104">
        <v>230478850</v>
      </c>
      <c r="G104">
        <v>22800.54</v>
      </c>
      <c r="H104">
        <v>27</v>
      </c>
      <c r="I104">
        <v>0</v>
      </c>
      <c r="J104">
        <v>27</v>
      </c>
      <c r="K104">
        <v>0</v>
      </c>
      <c r="L104">
        <v>0</v>
      </c>
      <c r="M104">
        <v>0</v>
      </c>
      <c r="N104">
        <v>0</v>
      </c>
      <c r="O104">
        <v>2.169</v>
      </c>
      <c r="P104">
        <v>0</v>
      </c>
      <c r="Q104">
        <v>29.169</v>
      </c>
      <c r="R104">
        <v>8.2789999999999999</v>
      </c>
      <c r="S104">
        <v>0</v>
      </c>
      <c r="T104">
        <v>0</v>
      </c>
      <c r="U104">
        <v>0</v>
      </c>
      <c r="V104">
        <v>0</v>
      </c>
      <c r="W104">
        <v>29.169</v>
      </c>
      <c r="X104">
        <v>82.760999999999996</v>
      </c>
      <c r="Y104">
        <v>19736826.550000001</v>
      </c>
      <c r="Z104">
        <v>12842112</v>
      </c>
    </row>
    <row r="105" spans="1:26" x14ac:dyDescent="0.25">
      <c r="A105" t="s">
        <v>297</v>
      </c>
      <c r="B105" t="s">
        <v>295</v>
      </c>
      <c r="C105" t="s">
        <v>298</v>
      </c>
      <c r="D105">
        <v>43249040</v>
      </c>
      <c r="E105">
        <v>0</v>
      </c>
      <c r="F105">
        <v>43249040</v>
      </c>
      <c r="G105">
        <v>8693.93</v>
      </c>
      <c r="H105">
        <v>27</v>
      </c>
      <c r="I105">
        <v>0</v>
      </c>
      <c r="J105">
        <v>27</v>
      </c>
      <c r="K105">
        <v>0</v>
      </c>
      <c r="L105">
        <v>0</v>
      </c>
      <c r="M105">
        <v>0.43099999999999999</v>
      </c>
      <c r="N105">
        <v>0</v>
      </c>
      <c r="O105">
        <v>0.50900000000000001</v>
      </c>
      <c r="P105">
        <v>0.20100000000000001</v>
      </c>
      <c r="Q105">
        <v>28.141000000000002</v>
      </c>
      <c r="R105">
        <v>0</v>
      </c>
      <c r="S105">
        <v>0</v>
      </c>
      <c r="T105">
        <v>0</v>
      </c>
      <c r="U105">
        <v>0</v>
      </c>
      <c r="V105">
        <v>0</v>
      </c>
      <c r="W105">
        <v>28.141000000000002</v>
      </c>
      <c r="X105">
        <v>69.816999999999993</v>
      </c>
      <c r="Y105">
        <v>3154789.73</v>
      </c>
      <c r="Z105">
        <v>1851916</v>
      </c>
    </row>
    <row r="106" spans="1:26" x14ac:dyDescent="0.25">
      <c r="A106" t="s">
        <v>299</v>
      </c>
      <c r="B106" t="s">
        <v>295</v>
      </c>
      <c r="C106" t="s">
        <v>300</v>
      </c>
      <c r="D106">
        <v>36149546</v>
      </c>
      <c r="E106">
        <v>0</v>
      </c>
      <c r="F106">
        <v>36149546</v>
      </c>
      <c r="G106">
        <v>925.8900000000001</v>
      </c>
      <c r="H106">
        <v>27</v>
      </c>
      <c r="I106">
        <v>0</v>
      </c>
      <c r="J106">
        <v>27</v>
      </c>
      <c r="K106">
        <v>0</v>
      </c>
      <c r="L106">
        <v>0</v>
      </c>
      <c r="M106">
        <v>0</v>
      </c>
      <c r="N106">
        <v>0</v>
      </c>
      <c r="O106">
        <v>0</v>
      </c>
      <c r="P106">
        <v>0</v>
      </c>
      <c r="Q106">
        <v>27</v>
      </c>
      <c r="R106">
        <v>4.4690000000000003</v>
      </c>
      <c r="S106">
        <v>0</v>
      </c>
      <c r="T106">
        <v>0</v>
      </c>
      <c r="U106">
        <v>0</v>
      </c>
      <c r="V106">
        <v>0</v>
      </c>
      <c r="W106">
        <v>27</v>
      </c>
      <c r="X106">
        <v>109.899</v>
      </c>
      <c r="Y106">
        <v>4052304.29</v>
      </c>
      <c r="Z106">
        <v>2994134</v>
      </c>
    </row>
    <row r="107" spans="1:26" x14ac:dyDescent="0.25">
      <c r="A107" t="s">
        <v>301</v>
      </c>
      <c r="B107" t="s">
        <v>295</v>
      </c>
      <c r="C107" t="s">
        <v>302</v>
      </c>
      <c r="D107">
        <v>59758950</v>
      </c>
      <c r="E107">
        <v>0</v>
      </c>
      <c r="F107">
        <v>59758950</v>
      </c>
      <c r="G107">
        <v>103.26</v>
      </c>
      <c r="H107">
        <v>25.81</v>
      </c>
      <c r="I107">
        <v>6.3920000000000003</v>
      </c>
      <c r="J107">
        <v>19.417999999999999</v>
      </c>
      <c r="K107">
        <v>0</v>
      </c>
      <c r="L107">
        <v>0</v>
      </c>
      <c r="M107">
        <v>7.4470000000000001</v>
      </c>
      <c r="N107">
        <v>0</v>
      </c>
      <c r="O107">
        <v>0</v>
      </c>
      <c r="P107">
        <v>2E-3</v>
      </c>
      <c r="Q107">
        <v>26.866999999999997</v>
      </c>
      <c r="R107">
        <v>14.425000000000001</v>
      </c>
      <c r="S107">
        <v>0</v>
      </c>
      <c r="T107">
        <v>0</v>
      </c>
      <c r="U107">
        <v>0</v>
      </c>
      <c r="V107">
        <v>0</v>
      </c>
      <c r="W107">
        <v>26.866999999999997</v>
      </c>
      <c r="X107">
        <v>41.274999999999999</v>
      </c>
      <c r="Y107">
        <v>2601021.4</v>
      </c>
      <c r="Z107">
        <v>1306152</v>
      </c>
    </row>
    <row r="108" spans="1:26" x14ac:dyDescent="0.25">
      <c r="A108" t="s">
        <v>303</v>
      </c>
      <c r="B108" t="s">
        <v>304</v>
      </c>
      <c r="C108" t="s">
        <v>305</v>
      </c>
      <c r="D108">
        <v>338003280</v>
      </c>
      <c r="E108">
        <v>0</v>
      </c>
      <c r="F108">
        <v>338003280</v>
      </c>
      <c r="G108">
        <v>136.01</v>
      </c>
      <c r="H108">
        <v>3.43</v>
      </c>
      <c r="I108">
        <v>0</v>
      </c>
      <c r="J108">
        <v>3.43</v>
      </c>
      <c r="K108">
        <v>0</v>
      </c>
      <c r="L108">
        <v>0</v>
      </c>
      <c r="M108">
        <v>1.4999999999999999E-2</v>
      </c>
      <c r="N108">
        <v>0</v>
      </c>
      <c r="O108">
        <v>0</v>
      </c>
      <c r="P108">
        <v>0</v>
      </c>
      <c r="Q108">
        <v>3.4450000000000003</v>
      </c>
      <c r="R108">
        <v>3.3140000000000001</v>
      </c>
      <c r="S108">
        <v>0</v>
      </c>
      <c r="T108">
        <v>0</v>
      </c>
      <c r="U108">
        <v>0</v>
      </c>
      <c r="V108">
        <v>0</v>
      </c>
      <c r="W108">
        <v>3.4450000000000003</v>
      </c>
      <c r="X108">
        <v>8.5779999999999994</v>
      </c>
      <c r="Y108">
        <v>2949343.28</v>
      </c>
      <c r="Z108">
        <v>1719845</v>
      </c>
    </row>
    <row r="109" spans="1:26" x14ac:dyDescent="0.25">
      <c r="A109" t="s">
        <v>306</v>
      </c>
      <c r="B109" t="s">
        <v>304</v>
      </c>
      <c r="C109" t="s">
        <v>307</v>
      </c>
      <c r="D109">
        <v>206670540</v>
      </c>
      <c r="E109">
        <v>0</v>
      </c>
      <c r="F109">
        <v>206670540</v>
      </c>
      <c r="G109">
        <v>11618.1</v>
      </c>
      <c r="H109">
        <v>11.895</v>
      </c>
      <c r="I109">
        <v>0</v>
      </c>
      <c r="J109">
        <v>11.895</v>
      </c>
      <c r="K109">
        <v>0</v>
      </c>
      <c r="L109">
        <v>0</v>
      </c>
      <c r="M109">
        <v>0</v>
      </c>
      <c r="N109">
        <v>0</v>
      </c>
      <c r="O109">
        <v>1.6930000000000001</v>
      </c>
      <c r="P109">
        <v>5.6000000000000001E-2</v>
      </c>
      <c r="Q109">
        <v>13.643999999999998</v>
      </c>
      <c r="R109">
        <v>0</v>
      </c>
      <c r="S109">
        <v>0</v>
      </c>
      <c r="T109">
        <v>0</v>
      </c>
      <c r="U109">
        <v>0</v>
      </c>
      <c r="V109">
        <v>0</v>
      </c>
      <c r="W109">
        <v>13.643999999999998</v>
      </c>
      <c r="X109">
        <v>18.978000000000002</v>
      </c>
      <c r="Y109">
        <v>4304175.45</v>
      </c>
      <c r="Z109">
        <v>1466972</v>
      </c>
    </row>
    <row r="110" spans="1:26" x14ac:dyDescent="0.25">
      <c r="A110" t="s">
        <v>308</v>
      </c>
      <c r="B110" t="s">
        <v>304</v>
      </c>
      <c r="C110" t="s">
        <v>309</v>
      </c>
      <c r="D110">
        <v>2124704190</v>
      </c>
      <c r="E110">
        <v>-23274118</v>
      </c>
      <c r="F110">
        <v>2101430072</v>
      </c>
      <c r="G110">
        <v>436604.17</v>
      </c>
      <c r="H110">
        <v>27</v>
      </c>
      <c r="I110">
        <v>0.78600000000000003</v>
      </c>
      <c r="J110">
        <v>26.213999999999999</v>
      </c>
      <c r="K110">
        <v>0</v>
      </c>
      <c r="L110">
        <v>0</v>
      </c>
      <c r="M110">
        <v>0</v>
      </c>
      <c r="N110">
        <v>0</v>
      </c>
      <c r="O110">
        <v>7.6269999999999998</v>
      </c>
      <c r="P110">
        <v>0.20799999999999999</v>
      </c>
      <c r="Q110">
        <v>34.048999999999999</v>
      </c>
      <c r="R110">
        <v>11.028</v>
      </c>
      <c r="S110">
        <v>0</v>
      </c>
      <c r="T110">
        <v>0</v>
      </c>
      <c r="U110">
        <v>0</v>
      </c>
      <c r="V110">
        <v>0</v>
      </c>
      <c r="W110">
        <v>34.048999999999999</v>
      </c>
      <c r="X110">
        <v>94.21</v>
      </c>
      <c r="Y110">
        <v>205406712.05000001</v>
      </c>
      <c r="Z110">
        <v>143153259</v>
      </c>
    </row>
    <row r="111" spans="1:26" x14ac:dyDescent="0.25">
      <c r="A111" t="s">
        <v>310</v>
      </c>
      <c r="B111" t="s">
        <v>311</v>
      </c>
      <c r="C111" t="s">
        <v>312</v>
      </c>
      <c r="D111">
        <v>50077808</v>
      </c>
      <c r="E111">
        <v>0</v>
      </c>
      <c r="F111">
        <v>50077808</v>
      </c>
      <c r="G111">
        <v>100</v>
      </c>
      <c r="H111">
        <v>27</v>
      </c>
      <c r="I111">
        <v>4.5469999999999997</v>
      </c>
      <c r="J111">
        <v>22.452999999999999</v>
      </c>
      <c r="K111">
        <v>0</v>
      </c>
      <c r="L111">
        <v>0</v>
      </c>
      <c r="M111">
        <v>0</v>
      </c>
      <c r="N111">
        <v>0</v>
      </c>
      <c r="O111">
        <v>1.3979999999999999</v>
      </c>
      <c r="P111">
        <v>0</v>
      </c>
      <c r="Q111">
        <v>23.850999999999999</v>
      </c>
      <c r="R111">
        <v>11.528</v>
      </c>
      <c r="S111">
        <v>0</v>
      </c>
      <c r="T111">
        <v>0</v>
      </c>
      <c r="U111">
        <v>0</v>
      </c>
      <c r="V111">
        <v>0</v>
      </c>
      <c r="W111">
        <v>23.850999999999999</v>
      </c>
      <c r="X111">
        <v>32.228999999999999</v>
      </c>
      <c r="Y111">
        <v>1724436.21</v>
      </c>
      <c r="Z111">
        <v>488758</v>
      </c>
    </row>
    <row r="112" spans="1:26" x14ac:dyDescent="0.25">
      <c r="A112" t="s">
        <v>313</v>
      </c>
      <c r="B112" t="s">
        <v>314</v>
      </c>
      <c r="C112" t="s">
        <v>314</v>
      </c>
      <c r="D112">
        <v>417239516</v>
      </c>
      <c r="E112">
        <v>0</v>
      </c>
      <c r="F112">
        <v>417239516</v>
      </c>
      <c r="G112">
        <v>62426.97</v>
      </c>
      <c r="H112">
        <v>27</v>
      </c>
      <c r="I112">
        <v>4.484</v>
      </c>
      <c r="J112">
        <v>22.515999999999998</v>
      </c>
      <c r="K112">
        <v>0</v>
      </c>
      <c r="L112">
        <v>0</v>
      </c>
      <c r="M112">
        <v>0.66500000000000004</v>
      </c>
      <c r="N112">
        <v>0</v>
      </c>
      <c r="O112">
        <v>4.5529999999999999</v>
      </c>
      <c r="P112">
        <v>0.14899999999999999</v>
      </c>
      <c r="Q112">
        <v>27.882999999999999</v>
      </c>
      <c r="R112">
        <v>6.4109999999999996</v>
      </c>
      <c r="S112">
        <v>0</v>
      </c>
      <c r="T112">
        <v>0</v>
      </c>
      <c r="U112">
        <v>0</v>
      </c>
      <c r="V112">
        <v>0</v>
      </c>
      <c r="W112">
        <v>27.882999999999999</v>
      </c>
      <c r="X112">
        <v>43.999000000000002</v>
      </c>
      <c r="Y112">
        <v>19283620.140000001</v>
      </c>
      <c r="Z112">
        <v>8970322</v>
      </c>
    </row>
    <row r="113" spans="1:26" x14ac:dyDescent="0.25">
      <c r="A113" t="s">
        <v>315</v>
      </c>
      <c r="B113" t="s">
        <v>316</v>
      </c>
      <c r="C113" t="s">
        <v>316</v>
      </c>
      <c r="D113">
        <v>501695470</v>
      </c>
      <c r="E113">
        <v>0</v>
      </c>
      <c r="F113">
        <v>501695470</v>
      </c>
      <c r="G113">
        <v>6078.07</v>
      </c>
      <c r="H113">
        <v>27</v>
      </c>
      <c r="I113">
        <v>6.1550000000000002</v>
      </c>
      <c r="J113">
        <v>20.844999999999999</v>
      </c>
      <c r="K113">
        <v>0</v>
      </c>
      <c r="L113">
        <v>0</v>
      </c>
      <c r="M113">
        <v>0</v>
      </c>
      <c r="N113">
        <v>0</v>
      </c>
      <c r="O113">
        <v>0</v>
      </c>
      <c r="P113">
        <v>1.2E-2</v>
      </c>
      <c r="Q113">
        <v>20.856999999999999</v>
      </c>
      <c r="R113">
        <v>2.847</v>
      </c>
      <c r="S113">
        <v>0</v>
      </c>
      <c r="T113">
        <v>0</v>
      </c>
      <c r="U113">
        <v>0</v>
      </c>
      <c r="V113">
        <v>0</v>
      </c>
      <c r="W113">
        <v>20.856999999999999</v>
      </c>
      <c r="X113">
        <v>48.805999999999997</v>
      </c>
      <c r="Y113">
        <v>25669778.629999999</v>
      </c>
      <c r="Z113">
        <v>14027894</v>
      </c>
    </row>
    <row r="114" spans="1:26" x14ac:dyDescent="0.25">
      <c r="A114" t="s">
        <v>317</v>
      </c>
      <c r="B114" t="s">
        <v>316</v>
      </c>
      <c r="C114" t="s">
        <v>165</v>
      </c>
      <c r="D114">
        <v>62236420</v>
      </c>
      <c r="E114">
        <v>0</v>
      </c>
      <c r="F114">
        <v>62236420</v>
      </c>
      <c r="G114">
        <v>8368.27</v>
      </c>
      <c r="H114">
        <v>27</v>
      </c>
      <c r="I114">
        <v>4.117</v>
      </c>
      <c r="J114">
        <v>22.882999999999999</v>
      </c>
      <c r="K114">
        <v>0</v>
      </c>
      <c r="L114">
        <v>0</v>
      </c>
      <c r="M114">
        <v>0</v>
      </c>
      <c r="N114">
        <v>0</v>
      </c>
      <c r="O114">
        <v>6.266</v>
      </c>
      <c r="P114">
        <v>0.13500000000000001</v>
      </c>
      <c r="Q114">
        <v>29.284000000000002</v>
      </c>
      <c r="R114">
        <v>4.0339999999999998</v>
      </c>
      <c r="S114">
        <v>0</v>
      </c>
      <c r="T114">
        <v>0</v>
      </c>
      <c r="U114">
        <v>0</v>
      </c>
      <c r="V114">
        <v>0</v>
      </c>
      <c r="W114">
        <v>29.284000000000002</v>
      </c>
      <c r="X114">
        <v>112.197</v>
      </c>
      <c r="Y114">
        <v>7111285.1900000004</v>
      </c>
      <c r="Z114">
        <v>5558065</v>
      </c>
    </row>
    <row r="115" spans="1:26" x14ac:dyDescent="0.25">
      <c r="A115" t="s">
        <v>318</v>
      </c>
      <c r="B115" t="s">
        <v>316</v>
      </c>
      <c r="C115" t="s">
        <v>319</v>
      </c>
      <c r="D115">
        <v>51351730</v>
      </c>
      <c r="E115">
        <v>0</v>
      </c>
      <c r="F115">
        <v>51351730</v>
      </c>
      <c r="G115">
        <v>13300.22</v>
      </c>
      <c r="H115">
        <v>27</v>
      </c>
      <c r="I115">
        <v>9.3420000000000005</v>
      </c>
      <c r="J115">
        <v>17.658000000000001</v>
      </c>
      <c r="K115">
        <v>0</v>
      </c>
      <c r="L115">
        <v>0</v>
      </c>
      <c r="M115">
        <v>0</v>
      </c>
      <c r="N115">
        <v>0</v>
      </c>
      <c r="O115">
        <v>1.1259999999999999</v>
      </c>
      <c r="P115">
        <v>0.25900000000000001</v>
      </c>
      <c r="Q115">
        <v>19.043000000000003</v>
      </c>
      <c r="R115">
        <v>7.3029999999999999</v>
      </c>
      <c r="S115">
        <v>0</v>
      </c>
      <c r="T115">
        <v>0</v>
      </c>
      <c r="U115">
        <v>0</v>
      </c>
      <c r="V115">
        <v>0</v>
      </c>
      <c r="W115">
        <v>19.043000000000003</v>
      </c>
      <c r="X115">
        <v>100.259</v>
      </c>
      <c r="Y115">
        <v>5211322.96</v>
      </c>
      <c r="Z115">
        <v>4241118</v>
      </c>
    </row>
    <row r="116" spans="1:26" x14ac:dyDescent="0.25">
      <c r="A116" t="s">
        <v>320</v>
      </c>
      <c r="B116" t="s">
        <v>321</v>
      </c>
      <c r="C116" t="s">
        <v>321</v>
      </c>
      <c r="D116">
        <v>653762051</v>
      </c>
      <c r="E116">
        <v>-6534666</v>
      </c>
      <c r="F116">
        <v>647227385</v>
      </c>
      <c r="G116">
        <v>37386.54</v>
      </c>
      <c r="H116">
        <v>27</v>
      </c>
      <c r="I116">
        <v>3.0329999999999999</v>
      </c>
      <c r="J116">
        <v>23.966999999999999</v>
      </c>
      <c r="K116">
        <v>0</v>
      </c>
      <c r="L116">
        <v>0</v>
      </c>
      <c r="M116">
        <v>0</v>
      </c>
      <c r="N116">
        <v>0</v>
      </c>
      <c r="O116">
        <v>0</v>
      </c>
      <c r="P116">
        <v>6.0000000000000001E-3</v>
      </c>
      <c r="Q116">
        <v>23.972999999999999</v>
      </c>
      <c r="R116">
        <v>3.024</v>
      </c>
      <c r="S116">
        <v>0</v>
      </c>
      <c r="T116">
        <v>0</v>
      </c>
      <c r="U116">
        <v>0</v>
      </c>
      <c r="V116">
        <v>0</v>
      </c>
      <c r="W116">
        <v>23.972999999999999</v>
      </c>
      <c r="X116">
        <v>87.290999999999997</v>
      </c>
      <c r="Y116">
        <v>58400673.609999999</v>
      </c>
      <c r="Z116">
        <v>40892043</v>
      </c>
    </row>
    <row r="117" spans="1:26" x14ac:dyDescent="0.25">
      <c r="A117" t="s">
        <v>322</v>
      </c>
      <c r="B117" t="s">
        <v>321</v>
      </c>
      <c r="C117" t="s">
        <v>323</v>
      </c>
      <c r="D117">
        <v>23607867</v>
      </c>
      <c r="E117">
        <v>0</v>
      </c>
      <c r="F117">
        <v>23607867</v>
      </c>
      <c r="G117">
        <v>2436.48</v>
      </c>
      <c r="H117">
        <v>27</v>
      </c>
      <c r="I117">
        <v>5.101</v>
      </c>
      <c r="J117">
        <v>21.899000000000001</v>
      </c>
      <c r="K117">
        <v>0</v>
      </c>
      <c r="L117">
        <v>0</v>
      </c>
      <c r="M117">
        <v>0</v>
      </c>
      <c r="N117">
        <v>0</v>
      </c>
      <c r="O117">
        <v>10.505000000000001</v>
      </c>
      <c r="P117">
        <v>0.10299999999999999</v>
      </c>
      <c r="Q117">
        <v>32.507000000000005</v>
      </c>
      <c r="R117">
        <v>3.8119999999999998</v>
      </c>
      <c r="S117">
        <v>0</v>
      </c>
      <c r="T117">
        <v>0</v>
      </c>
      <c r="U117">
        <v>0</v>
      </c>
      <c r="V117">
        <v>0</v>
      </c>
      <c r="W117">
        <v>32.507000000000005</v>
      </c>
      <c r="X117">
        <v>165.03299999999999</v>
      </c>
      <c r="Y117">
        <v>4018783.77</v>
      </c>
      <c r="Z117">
        <v>3387971</v>
      </c>
    </row>
    <row r="118" spans="1:26" x14ac:dyDescent="0.25">
      <c r="A118" t="s">
        <v>324</v>
      </c>
      <c r="B118" t="s">
        <v>325</v>
      </c>
      <c r="C118" t="s">
        <v>326</v>
      </c>
      <c r="D118">
        <v>257721593</v>
      </c>
      <c r="E118">
        <v>0</v>
      </c>
      <c r="F118">
        <v>257721593</v>
      </c>
      <c r="G118">
        <v>18249.82</v>
      </c>
      <c r="H118">
        <v>27</v>
      </c>
      <c r="I118">
        <v>0</v>
      </c>
      <c r="J118">
        <v>27</v>
      </c>
      <c r="K118">
        <v>0</v>
      </c>
      <c r="L118">
        <v>0</v>
      </c>
      <c r="M118">
        <v>0</v>
      </c>
      <c r="N118">
        <v>0</v>
      </c>
      <c r="O118">
        <v>9.3119999999999994</v>
      </c>
      <c r="P118">
        <v>0.04</v>
      </c>
      <c r="Q118">
        <v>36.351999999999997</v>
      </c>
      <c r="R118">
        <v>12.747</v>
      </c>
      <c r="S118">
        <v>0</v>
      </c>
      <c r="T118">
        <v>0</v>
      </c>
      <c r="U118">
        <v>0</v>
      </c>
      <c r="V118">
        <v>0</v>
      </c>
      <c r="W118">
        <v>36.351999999999997</v>
      </c>
      <c r="X118">
        <v>54.875999999999998</v>
      </c>
      <c r="Y118">
        <v>14797471.5</v>
      </c>
      <c r="Z118">
        <v>7174166</v>
      </c>
    </row>
    <row r="119" spans="1:26" x14ac:dyDescent="0.25">
      <c r="A119" t="s">
        <v>327</v>
      </c>
      <c r="B119" t="s">
        <v>325</v>
      </c>
      <c r="C119" t="s">
        <v>328</v>
      </c>
      <c r="D119">
        <v>309198470</v>
      </c>
      <c r="E119">
        <v>0</v>
      </c>
      <c r="F119">
        <v>309198470</v>
      </c>
      <c r="G119">
        <v>32344.48</v>
      </c>
      <c r="H119">
        <v>27</v>
      </c>
      <c r="I119">
        <v>0</v>
      </c>
      <c r="J119">
        <v>27</v>
      </c>
      <c r="K119">
        <v>0</v>
      </c>
      <c r="L119">
        <v>0</v>
      </c>
      <c r="M119">
        <v>0</v>
      </c>
      <c r="N119">
        <v>0</v>
      </c>
      <c r="O119">
        <v>1.7729999999999999</v>
      </c>
      <c r="P119">
        <v>8.4000000000000005E-2</v>
      </c>
      <c r="Q119">
        <v>28.856999999999999</v>
      </c>
      <c r="R119">
        <v>8.8740000000000006</v>
      </c>
      <c r="S119">
        <v>0</v>
      </c>
      <c r="T119">
        <v>0</v>
      </c>
      <c r="U119">
        <v>0</v>
      </c>
      <c r="V119">
        <v>0</v>
      </c>
      <c r="W119">
        <v>28.856999999999999</v>
      </c>
      <c r="X119">
        <v>102.367</v>
      </c>
      <c r="Y119">
        <v>32455902</v>
      </c>
      <c r="Z119">
        <v>23355893</v>
      </c>
    </row>
    <row r="120" spans="1:26" x14ac:dyDescent="0.25">
      <c r="A120" t="s">
        <v>329</v>
      </c>
      <c r="B120" t="s">
        <v>325</v>
      </c>
      <c r="C120" t="s">
        <v>330</v>
      </c>
      <c r="D120">
        <v>31294240</v>
      </c>
      <c r="E120">
        <v>0</v>
      </c>
      <c r="F120">
        <v>31294240</v>
      </c>
      <c r="G120">
        <v>75.08</v>
      </c>
      <c r="H120">
        <v>27</v>
      </c>
      <c r="I120">
        <v>0</v>
      </c>
      <c r="J120">
        <v>27</v>
      </c>
      <c r="K120">
        <v>0</v>
      </c>
      <c r="L120">
        <v>0</v>
      </c>
      <c r="M120">
        <v>0.307</v>
      </c>
      <c r="N120">
        <v>0</v>
      </c>
      <c r="O120">
        <v>0</v>
      </c>
      <c r="P120">
        <v>2E-3</v>
      </c>
      <c r="Q120">
        <v>27.308999999999997</v>
      </c>
      <c r="R120">
        <v>0.6</v>
      </c>
      <c r="S120">
        <v>0</v>
      </c>
      <c r="T120">
        <v>0</v>
      </c>
      <c r="U120">
        <v>0</v>
      </c>
      <c r="V120">
        <v>0</v>
      </c>
      <c r="W120">
        <v>27.308999999999997</v>
      </c>
      <c r="X120">
        <v>106.4</v>
      </c>
      <c r="Y120">
        <v>3369729.4</v>
      </c>
      <c r="Z120">
        <v>2464880</v>
      </c>
    </row>
    <row r="121" spans="1:26" x14ac:dyDescent="0.25">
      <c r="A121" t="s">
        <v>331</v>
      </c>
      <c r="B121" t="s">
        <v>325</v>
      </c>
      <c r="C121" t="s">
        <v>332</v>
      </c>
      <c r="D121">
        <v>305651780</v>
      </c>
      <c r="E121">
        <v>0</v>
      </c>
      <c r="F121">
        <v>305651780</v>
      </c>
      <c r="G121">
        <v>10122.049999999999</v>
      </c>
      <c r="H121">
        <v>24.545000000000002</v>
      </c>
      <c r="I121">
        <v>0</v>
      </c>
      <c r="J121">
        <v>24.545000000000002</v>
      </c>
      <c r="K121">
        <v>0</v>
      </c>
      <c r="L121">
        <v>0</v>
      </c>
      <c r="M121">
        <v>0</v>
      </c>
      <c r="N121">
        <v>0</v>
      </c>
      <c r="O121">
        <v>0</v>
      </c>
      <c r="P121">
        <v>3.3000000000000002E-2</v>
      </c>
      <c r="Q121">
        <v>24.578000000000003</v>
      </c>
      <c r="R121">
        <v>14.695</v>
      </c>
      <c r="S121">
        <v>0</v>
      </c>
      <c r="T121">
        <v>0</v>
      </c>
      <c r="U121">
        <v>0</v>
      </c>
      <c r="V121">
        <v>0</v>
      </c>
      <c r="W121">
        <v>24.578000000000003</v>
      </c>
      <c r="X121">
        <v>27.960999999999999</v>
      </c>
      <c r="Y121">
        <v>9020096.1600000001</v>
      </c>
      <c r="Z121">
        <v>1051454</v>
      </c>
    </row>
    <row r="122" spans="1:26" x14ac:dyDescent="0.25">
      <c r="A122" t="s">
        <v>333</v>
      </c>
      <c r="B122" t="s">
        <v>334</v>
      </c>
      <c r="C122" t="s">
        <v>335</v>
      </c>
      <c r="D122">
        <v>84403039</v>
      </c>
      <c r="E122">
        <v>-2460090</v>
      </c>
      <c r="F122">
        <v>81942949</v>
      </c>
      <c r="G122">
        <v>107053.86</v>
      </c>
      <c r="H122">
        <v>27</v>
      </c>
      <c r="I122">
        <v>0.58299999999999996</v>
      </c>
      <c r="J122">
        <v>26.417000000000002</v>
      </c>
      <c r="K122">
        <v>0</v>
      </c>
      <c r="L122">
        <v>0</v>
      </c>
      <c r="M122">
        <v>0</v>
      </c>
      <c r="N122">
        <v>0</v>
      </c>
      <c r="O122">
        <v>0</v>
      </c>
      <c r="P122">
        <v>1.306</v>
      </c>
      <c r="Q122">
        <v>27.723000000000003</v>
      </c>
      <c r="R122">
        <v>5.492</v>
      </c>
      <c r="S122">
        <v>0</v>
      </c>
      <c r="T122">
        <v>0</v>
      </c>
      <c r="U122">
        <v>0</v>
      </c>
      <c r="V122">
        <v>0</v>
      </c>
      <c r="W122">
        <v>27.723000000000003</v>
      </c>
      <c r="X122">
        <v>178.24700000000001</v>
      </c>
      <c r="Y122">
        <v>14975984.630000001</v>
      </c>
      <c r="Z122">
        <v>12430687</v>
      </c>
    </row>
    <row r="123" spans="1:26" x14ac:dyDescent="0.25">
      <c r="A123" t="s">
        <v>336</v>
      </c>
      <c r="B123" t="s">
        <v>334</v>
      </c>
      <c r="C123" t="s">
        <v>337</v>
      </c>
      <c r="D123">
        <v>38297240</v>
      </c>
      <c r="E123">
        <v>0</v>
      </c>
      <c r="F123">
        <v>38297240</v>
      </c>
      <c r="G123">
        <v>393.61</v>
      </c>
      <c r="H123">
        <v>27</v>
      </c>
      <c r="I123">
        <v>0</v>
      </c>
      <c r="J123">
        <v>27</v>
      </c>
      <c r="K123">
        <v>0</v>
      </c>
      <c r="L123">
        <v>0</v>
      </c>
      <c r="M123">
        <v>0</v>
      </c>
      <c r="N123">
        <v>0</v>
      </c>
      <c r="O123">
        <v>0</v>
      </c>
      <c r="P123">
        <v>0</v>
      </c>
      <c r="Q123">
        <v>27</v>
      </c>
      <c r="R123">
        <v>7.9</v>
      </c>
      <c r="S123">
        <v>0</v>
      </c>
      <c r="T123">
        <v>0</v>
      </c>
      <c r="U123">
        <v>0</v>
      </c>
      <c r="V123">
        <v>0</v>
      </c>
      <c r="W123">
        <v>27</v>
      </c>
      <c r="X123">
        <v>214.571</v>
      </c>
      <c r="Y123">
        <v>8429420.1199999992</v>
      </c>
      <c r="Z123">
        <v>7185154</v>
      </c>
    </row>
    <row r="124" spans="1:26" x14ac:dyDescent="0.25">
      <c r="A124" t="s">
        <v>338</v>
      </c>
      <c r="B124" t="s">
        <v>334</v>
      </c>
      <c r="C124" t="s">
        <v>339</v>
      </c>
      <c r="D124">
        <v>11256992</v>
      </c>
      <c r="E124">
        <v>0</v>
      </c>
      <c r="F124">
        <v>11256992</v>
      </c>
      <c r="G124">
        <v>6.59</v>
      </c>
      <c r="H124">
        <v>23.728999999999999</v>
      </c>
      <c r="I124">
        <v>0</v>
      </c>
      <c r="J124">
        <v>23.728999999999999</v>
      </c>
      <c r="K124">
        <v>0</v>
      </c>
      <c r="L124">
        <v>0</v>
      </c>
      <c r="M124">
        <v>0</v>
      </c>
      <c r="N124">
        <v>0</v>
      </c>
      <c r="O124">
        <v>0</v>
      </c>
      <c r="P124">
        <v>0</v>
      </c>
      <c r="Q124">
        <v>23.728999999999999</v>
      </c>
      <c r="R124">
        <v>0</v>
      </c>
      <c r="S124">
        <v>0</v>
      </c>
      <c r="T124">
        <v>0</v>
      </c>
      <c r="U124">
        <v>0</v>
      </c>
      <c r="V124">
        <v>0</v>
      </c>
      <c r="W124">
        <v>23.728999999999999</v>
      </c>
      <c r="X124">
        <v>250.14099999999999</v>
      </c>
      <c r="Y124">
        <v>2867310.86</v>
      </c>
      <c r="Z124">
        <v>2548441</v>
      </c>
    </row>
    <row r="125" spans="1:26" x14ac:dyDescent="0.25">
      <c r="A125" t="s">
        <v>340</v>
      </c>
      <c r="B125" t="s">
        <v>334</v>
      </c>
      <c r="C125" t="s">
        <v>341</v>
      </c>
      <c r="D125">
        <v>27811563</v>
      </c>
      <c r="E125">
        <v>0</v>
      </c>
      <c r="F125">
        <v>27811563</v>
      </c>
      <c r="G125">
        <v>4775.08</v>
      </c>
      <c r="H125">
        <v>27</v>
      </c>
      <c r="I125">
        <v>0</v>
      </c>
      <c r="J125">
        <v>27</v>
      </c>
      <c r="K125">
        <v>0</v>
      </c>
      <c r="L125">
        <v>0</v>
      </c>
      <c r="M125">
        <v>0</v>
      </c>
      <c r="N125">
        <v>0</v>
      </c>
      <c r="O125">
        <v>0</v>
      </c>
      <c r="P125">
        <v>0.17199999999999999</v>
      </c>
      <c r="Q125">
        <v>27.172000000000001</v>
      </c>
      <c r="R125">
        <v>13.324999999999999</v>
      </c>
      <c r="S125">
        <v>0</v>
      </c>
      <c r="T125">
        <v>0</v>
      </c>
      <c r="U125">
        <v>0</v>
      </c>
      <c r="V125">
        <v>0</v>
      </c>
      <c r="W125">
        <v>27.172000000000001</v>
      </c>
      <c r="X125">
        <v>161.29300000000001</v>
      </c>
      <c r="Y125">
        <v>4605720.43</v>
      </c>
      <c r="Z125">
        <v>3730783</v>
      </c>
    </row>
    <row r="126" spans="1:26" x14ac:dyDescent="0.25">
      <c r="A126" t="s">
        <v>342</v>
      </c>
      <c r="B126" t="s">
        <v>334</v>
      </c>
      <c r="C126" t="s">
        <v>343</v>
      </c>
      <c r="D126">
        <v>8491512</v>
      </c>
      <c r="E126">
        <v>0</v>
      </c>
      <c r="F126">
        <v>8491512</v>
      </c>
      <c r="G126">
        <v>0</v>
      </c>
      <c r="H126">
        <v>27</v>
      </c>
      <c r="I126">
        <v>0</v>
      </c>
      <c r="J126">
        <v>27</v>
      </c>
      <c r="K126">
        <v>0</v>
      </c>
      <c r="L126">
        <v>0</v>
      </c>
      <c r="M126">
        <v>0</v>
      </c>
      <c r="N126">
        <v>0</v>
      </c>
      <c r="O126">
        <v>0</v>
      </c>
      <c r="P126">
        <v>0</v>
      </c>
      <c r="Q126">
        <v>27</v>
      </c>
      <c r="R126">
        <v>0</v>
      </c>
      <c r="S126">
        <v>0</v>
      </c>
      <c r="T126">
        <v>0</v>
      </c>
      <c r="U126">
        <v>0</v>
      </c>
      <c r="V126">
        <v>0</v>
      </c>
      <c r="W126">
        <v>27</v>
      </c>
      <c r="X126">
        <v>389.22800000000001</v>
      </c>
      <c r="Y126">
        <v>3353720.72</v>
      </c>
      <c r="Z126">
        <v>3075862</v>
      </c>
    </row>
    <row r="127" spans="1:26" x14ac:dyDescent="0.25">
      <c r="A127" t="s">
        <v>344</v>
      </c>
      <c r="B127" t="s">
        <v>334</v>
      </c>
      <c r="C127" t="s">
        <v>345</v>
      </c>
      <c r="D127">
        <v>20878961</v>
      </c>
      <c r="E127">
        <v>-738625</v>
      </c>
      <c r="F127">
        <v>20140336</v>
      </c>
      <c r="G127">
        <v>2668.25</v>
      </c>
      <c r="H127">
        <v>27</v>
      </c>
      <c r="I127">
        <v>3.0030000000000001</v>
      </c>
      <c r="J127">
        <v>23.997</v>
      </c>
      <c r="K127">
        <v>0</v>
      </c>
      <c r="L127">
        <v>0</v>
      </c>
      <c r="M127">
        <v>0</v>
      </c>
      <c r="N127">
        <v>0</v>
      </c>
      <c r="O127">
        <v>0.78800000000000003</v>
      </c>
      <c r="P127">
        <v>0.13300000000000001</v>
      </c>
      <c r="Q127">
        <v>24.917999999999999</v>
      </c>
      <c r="R127">
        <v>9.4</v>
      </c>
      <c r="S127">
        <v>0</v>
      </c>
      <c r="T127">
        <v>0</v>
      </c>
      <c r="U127">
        <v>0</v>
      </c>
      <c r="V127">
        <v>0</v>
      </c>
      <c r="W127">
        <v>24.917999999999999</v>
      </c>
      <c r="X127">
        <v>199.964</v>
      </c>
      <c r="Y127">
        <v>4128757.67</v>
      </c>
      <c r="Z127">
        <v>3543901</v>
      </c>
    </row>
    <row r="128" spans="1:26" x14ac:dyDescent="0.25">
      <c r="A128" t="s">
        <v>346</v>
      </c>
      <c r="B128" t="s">
        <v>347</v>
      </c>
      <c r="C128" t="s">
        <v>347</v>
      </c>
      <c r="D128">
        <v>71813890</v>
      </c>
      <c r="E128">
        <v>0</v>
      </c>
      <c r="F128">
        <v>71813890</v>
      </c>
      <c r="G128">
        <v>250.09000000000003</v>
      </c>
      <c r="H128">
        <v>27</v>
      </c>
      <c r="I128">
        <v>6.069</v>
      </c>
      <c r="J128">
        <v>20.931000000000001</v>
      </c>
      <c r="K128">
        <v>0</v>
      </c>
      <c r="L128">
        <v>0</v>
      </c>
      <c r="M128">
        <v>0</v>
      </c>
      <c r="N128">
        <v>0</v>
      </c>
      <c r="O128">
        <v>6.8719999999999999</v>
      </c>
      <c r="P128">
        <v>4.0000000000000001E-3</v>
      </c>
      <c r="Q128">
        <v>27.807000000000002</v>
      </c>
      <c r="R128">
        <v>2.7269999999999999</v>
      </c>
      <c r="S128">
        <v>0</v>
      </c>
      <c r="T128">
        <v>0</v>
      </c>
      <c r="U128">
        <v>0</v>
      </c>
      <c r="V128">
        <v>0</v>
      </c>
      <c r="W128">
        <v>27.807000000000002</v>
      </c>
      <c r="X128">
        <v>43.984999999999999</v>
      </c>
      <c r="Y128">
        <v>3298855.25</v>
      </c>
      <c r="Z128">
        <v>1658355</v>
      </c>
    </row>
    <row r="129" spans="1:26" x14ac:dyDescent="0.25">
      <c r="A129" t="s">
        <v>348</v>
      </c>
      <c r="B129" t="s">
        <v>347</v>
      </c>
      <c r="C129" t="s">
        <v>349</v>
      </c>
      <c r="D129">
        <v>126328260</v>
      </c>
      <c r="E129">
        <v>0</v>
      </c>
      <c r="F129">
        <v>126328260</v>
      </c>
      <c r="G129">
        <v>3967.1799999999994</v>
      </c>
      <c r="H129">
        <v>21.643000000000001</v>
      </c>
      <c r="I129">
        <v>6.7149999999999999</v>
      </c>
      <c r="J129">
        <v>14.928000000000001</v>
      </c>
      <c r="K129">
        <v>0</v>
      </c>
      <c r="L129">
        <v>0</v>
      </c>
      <c r="M129">
        <v>0</v>
      </c>
      <c r="N129">
        <v>0</v>
      </c>
      <c r="O129">
        <v>10.512</v>
      </c>
      <c r="P129">
        <v>3.1E-2</v>
      </c>
      <c r="Q129">
        <v>25.471</v>
      </c>
      <c r="R129">
        <v>7.4530000000000003</v>
      </c>
      <c r="S129">
        <v>0</v>
      </c>
      <c r="T129">
        <v>0</v>
      </c>
      <c r="U129">
        <v>0</v>
      </c>
      <c r="V129">
        <v>0</v>
      </c>
      <c r="W129">
        <v>25.471</v>
      </c>
      <c r="X129">
        <v>34.936999999999998</v>
      </c>
      <c r="Y129">
        <v>4436322.12</v>
      </c>
      <c r="Z129">
        <v>2527774</v>
      </c>
    </row>
    <row r="130" spans="1:26" x14ac:dyDescent="0.25">
      <c r="A130" t="s">
        <v>350</v>
      </c>
      <c r="B130" t="s">
        <v>351</v>
      </c>
      <c r="C130" t="s">
        <v>352</v>
      </c>
      <c r="D130">
        <v>179994023</v>
      </c>
      <c r="E130">
        <v>0</v>
      </c>
      <c r="F130">
        <v>179994023</v>
      </c>
      <c r="G130">
        <v>6569.05</v>
      </c>
      <c r="H130">
        <v>27</v>
      </c>
      <c r="I130">
        <v>7.3380000000000001</v>
      </c>
      <c r="J130">
        <v>19.661999999999999</v>
      </c>
      <c r="K130">
        <v>0</v>
      </c>
      <c r="L130">
        <v>0</v>
      </c>
      <c r="M130">
        <v>0</v>
      </c>
      <c r="N130">
        <v>0</v>
      </c>
      <c r="O130">
        <v>3.5739999999999998</v>
      </c>
      <c r="P130">
        <v>3.5999999999999997E-2</v>
      </c>
      <c r="Q130">
        <v>23.271999999999998</v>
      </c>
      <c r="R130">
        <v>4</v>
      </c>
      <c r="S130">
        <v>0</v>
      </c>
      <c r="T130">
        <v>0</v>
      </c>
      <c r="U130">
        <v>0</v>
      </c>
      <c r="V130">
        <v>0</v>
      </c>
      <c r="W130">
        <v>23.271999999999998</v>
      </c>
      <c r="X130">
        <v>45.4</v>
      </c>
      <c r="Y130">
        <v>8560790.4700000007</v>
      </c>
      <c r="Z130">
        <v>4632457</v>
      </c>
    </row>
    <row r="131" spans="1:26" x14ac:dyDescent="0.25">
      <c r="A131" t="s">
        <v>353</v>
      </c>
      <c r="B131" t="s">
        <v>351</v>
      </c>
      <c r="C131" t="s">
        <v>351</v>
      </c>
      <c r="D131">
        <v>387060088</v>
      </c>
      <c r="E131">
        <v>0</v>
      </c>
      <c r="F131">
        <v>387060088</v>
      </c>
      <c r="G131">
        <v>14067.05</v>
      </c>
      <c r="H131">
        <v>12.173</v>
      </c>
      <c r="I131">
        <v>0</v>
      </c>
      <c r="J131">
        <v>12.173</v>
      </c>
      <c r="K131">
        <v>0</v>
      </c>
      <c r="L131">
        <v>0</v>
      </c>
      <c r="M131">
        <v>1.423</v>
      </c>
      <c r="N131">
        <v>0</v>
      </c>
      <c r="O131">
        <v>3.28</v>
      </c>
      <c r="P131">
        <v>0</v>
      </c>
      <c r="Q131">
        <v>16.876000000000001</v>
      </c>
      <c r="R131">
        <v>2.613</v>
      </c>
      <c r="S131">
        <v>0</v>
      </c>
      <c r="T131">
        <v>0</v>
      </c>
      <c r="U131">
        <v>0</v>
      </c>
      <c r="V131">
        <v>0</v>
      </c>
      <c r="W131">
        <v>16.876000000000001</v>
      </c>
      <c r="X131">
        <v>15.1</v>
      </c>
      <c r="Y131">
        <v>6529849.6799999997</v>
      </c>
      <c r="Z131">
        <v>1132905</v>
      </c>
    </row>
    <row r="132" spans="1:26" x14ac:dyDescent="0.25">
      <c r="A132" t="s">
        <v>354</v>
      </c>
      <c r="B132" t="s">
        <v>355</v>
      </c>
      <c r="C132" t="s">
        <v>356</v>
      </c>
      <c r="D132">
        <v>77969670</v>
      </c>
      <c r="E132">
        <v>0</v>
      </c>
      <c r="F132">
        <v>77969670</v>
      </c>
      <c r="G132">
        <v>65.349999999999994</v>
      </c>
      <c r="H132">
        <v>27</v>
      </c>
      <c r="I132">
        <v>0</v>
      </c>
      <c r="J132">
        <v>27</v>
      </c>
      <c r="K132">
        <v>0</v>
      </c>
      <c r="L132">
        <v>0</v>
      </c>
      <c r="M132">
        <v>0</v>
      </c>
      <c r="N132">
        <v>0</v>
      </c>
      <c r="O132">
        <v>7</v>
      </c>
      <c r="P132">
        <v>0</v>
      </c>
      <c r="Q132">
        <v>34</v>
      </c>
      <c r="R132">
        <v>3.31</v>
      </c>
      <c r="S132">
        <v>0</v>
      </c>
      <c r="T132">
        <v>0</v>
      </c>
      <c r="U132">
        <v>0</v>
      </c>
      <c r="V132">
        <v>0</v>
      </c>
      <c r="W132">
        <v>34</v>
      </c>
      <c r="X132">
        <v>78.927000000000007</v>
      </c>
      <c r="Y132">
        <v>6396331.5700000003</v>
      </c>
      <c r="Z132">
        <v>4048667</v>
      </c>
    </row>
    <row r="133" spans="1:26" x14ac:dyDescent="0.25">
      <c r="A133" t="s">
        <v>357</v>
      </c>
      <c r="B133" t="s">
        <v>355</v>
      </c>
      <c r="C133" t="s">
        <v>358</v>
      </c>
      <c r="D133">
        <v>34505725</v>
      </c>
      <c r="E133">
        <v>0</v>
      </c>
      <c r="F133">
        <v>34505725</v>
      </c>
      <c r="G133">
        <v>432.7</v>
      </c>
      <c r="H133">
        <v>27</v>
      </c>
      <c r="I133">
        <v>0</v>
      </c>
      <c r="J133">
        <v>27</v>
      </c>
      <c r="K133">
        <v>0</v>
      </c>
      <c r="L133">
        <v>0</v>
      </c>
      <c r="M133">
        <v>0</v>
      </c>
      <c r="N133">
        <v>0</v>
      </c>
      <c r="O133">
        <v>5</v>
      </c>
      <c r="P133">
        <v>0</v>
      </c>
      <c r="Q133">
        <v>32</v>
      </c>
      <c r="R133">
        <v>7.6</v>
      </c>
      <c r="S133">
        <v>0</v>
      </c>
      <c r="T133">
        <v>0</v>
      </c>
      <c r="U133">
        <v>0</v>
      </c>
      <c r="V133">
        <v>0</v>
      </c>
      <c r="W133">
        <v>32</v>
      </c>
      <c r="X133">
        <v>111.70099999999999</v>
      </c>
      <c r="Y133">
        <v>3975160.76</v>
      </c>
      <c r="Z133">
        <v>2922190</v>
      </c>
    </row>
    <row r="134" spans="1:26" x14ac:dyDescent="0.25">
      <c r="A134" t="s">
        <v>359</v>
      </c>
      <c r="B134" t="s">
        <v>360</v>
      </c>
      <c r="C134" t="s">
        <v>361</v>
      </c>
      <c r="D134">
        <v>3464936300</v>
      </c>
      <c r="E134">
        <v>0</v>
      </c>
      <c r="F134">
        <v>3464936300</v>
      </c>
      <c r="G134">
        <v>37229.94</v>
      </c>
      <c r="H134">
        <v>4.4119999999999999</v>
      </c>
      <c r="I134">
        <v>0</v>
      </c>
      <c r="J134">
        <v>4.4119999999999999</v>
      </c>
      <c r="K134">
        <v>0</v>
      </c>
      <c r="L134">
        <v>0</v>
      </c>
      <c r="M134">
        <v>0.20499999999999999</v>
      </c>
      <c r="N134">
        <v>0</v>
      </c>
      <c r="O134">
        <v>1.847</v>
      </c>
      <c r="P134">
        <v>1.0999999999999999E-2</v>
      </c>
      <c r="Q134">
        <v>6.4750000000000005</v>
      </c>
      <c r="R134">
        <v>2.4409999999999998</v>
      </c>
      <c r="S134">
        <v>0</v>
      </c>
      <c r="T134">
        <v>0</v>
      </c>
      <c r="U134">
        <v>0</v>
      </c>
      <c r="V134">
        <v>0</v>
      </c>
      <c r="W134">
        <v>6.4750000000000005</v>
      </c>
      <c r="X134">
        <v>5.9690000000000003</v>
      </c>
      <c r="Y134">
        <v>21131733.359999999</v>
      </c>
      <c r="Z134">
        <v>5389136</v>
      </c>
    </row>
    <row r="135" spans="1:26" x14ac:dyDescent="0.25">
      <c r="A135" t="s">
        <v>362</v>
      </c>
      <c r="B135" t="s">
        <v>363</v>
      </c>
      <c r="C135" t="s">
        <v>364</v>
      </c>
      <c r="D135">
        <v>16233539</v>
      </c>
      <c r="E135">
        <v>0</v>
      </c>
      <c r="F135">
        <v>16233539</v>
      </c>
      <c r="G135">
        <v>114</v>
      </c>
      <c r="H135">
        <v>27</v>
      </c>
      <c r="I135">
        <v>0</v>
      </c>
      <c r="J135">
        <v>27</v>
      </c>
      <c r="K135">
        <v>0</v>
      </c>
      <c r="L135">
        <v>0</v>
      </c>
      <c r="M135">
        <v>0</v>
      </c>
      <c r="N135">
        <v>0</v>
      </c>
      <c r="O135">
        <v>0</v>
      </c>
      <c r="P135">
        <v>0</v>
      </c>
      <c r="Q135">
        <v>27</v>
      </c>
      <c r="R135">
        <v>0</v>
      </c>
      <c r="S135">
        <v>0</v>
      </c>
      <c r="T135">
        <v>0</v>
      </c>
      <c r="U135">
        <v>0</v>
      </c>
      <c r="V135">
        <v>0</v>
      </c>
      <c r="W135">
        <v>27</v>
      </c>
      <c r="X135">
        <v>182.828</v>
      </c>
      <c r="Y135">
        <v>3038532.79</v>
      </c>
      <c r="Z135">
        <v>2528816</v>
      </c>
    </row>
    <row r="136" spans="1:26" x14ac:dyDescent="0.25">
      <c r="A136" t="s">
        <v>365</v>
      </c>
      <c r="B136" t="s">
        <v>363</v>
      </c>
      <c r="C136" t="s">
        <v>366</v>
      </c>
      <c r="D136">
        <v>99410870</v>
      </c>
      <c r="E136">
        <v>-2720700</v>
      </c>
      <c r="F136">
        <v>96690170</v>
      </c>
      <c r="G136">
        <v>15364</v>
      </c>
      <c r="H136">
        <v>27</v>
      </c>
      <c r="I136">
        <v>5.4050000000000002</v>
      </c>
      <c r="J136">
        <v>21.594999999999999</v>
      </c>
      <c r="K136">
        <v>0</v>
      </c>
      <c r="L136">
        <v>0</v>
      </c>
      <c r="M136">
        <v>0</v>
      </c>
      <c r="N136">
        <v>0</v>
      </c>
      <c r="O136">
        <v>0</v>
      </c>
      <c r="P136">
        <v>0.159</v>
      </c>
      <c r="Q136">
        <v>21.753999999999998</v>
      </c>
      <c r="R136">
        <v>3.3610000000000002</v>
      </c>
      <c r="S136">
        <v>0</v>
      </c>
      <c r="T136">
        <v>0</v>
      </c>
      <c r="U136">
        <v>0</v>
      </c>
      <c r="V136">
        <v>0</v>
      </c>
      <c r="W136">
        <v>21.753999999999998</v>
      </c>
      <c r="X136">
        <v>155.536</v>
      </c>
      <c r="Y136">
        <v>15323547.789999999</v>
      </c>
      <c r="Z136">
        <v>12946407</v>
      </c>
    </row>
    <row r="137" spans="1:26" x14ac:dyDescent="0.25">
      <c r="A137" t="s">
        <v>367</v>
      </c>
      <c r="B137" t="s">
        <v>363</v>
      </c>
      <c r="C137" t="s">
        <v>368</v>
      </c>
      <c r="D137">
        <v>28123665</v>
      </c>
      <c r="E137">
        <v>0</v>
      </c>
      <c r="F137">
        <v>28123665</v>
      </c>
      <c r="G137">
        <v>16562</v>
      </c>
      <c r="H137">
        <v>27</v>
      </c>
      <c r="I137">
        <v>0</v>
      </c>
      <c r="J137">
        <v>27</v>
      </c>
      <c r="K137">
        <v>0</v>
      </c>
      <c r="L137">
        <v>0</v>
      </c>
      <c r="M137">
        <v>0</v>
      </c>
      <c r="N137">
        <v>0</v>
      </c>
      <c r="O137">
        <v>0</v>
      </c>
      <c r="P137">
        <v>2.9000000000000001E-2</v>
      </c>
      <c r="Q137">
        <v>27.029</v>
      </c>
      <c r="R137">
        <v>8.9960000000000004</v>
      </c>
      <c r="S137">
        <v>0</v>
      </c>
      <c r="T137">
        <v>0</v>
      </c>
      <c r="U137">
        <v>0</v>
      </c>
      <c r="V137">
        <v>0</v>
      </c>
      <c r="W137">
        <v>27.029</v>
      </c>
      <c r="X137">
        <v>123.32299999999999</v>
      </c>
      <c r="Y137">
        <v>3581197.21</v>
      </c>
      <c r="Z137">
        <v>2708826</v>
      </c>
    </row>
    <row r="138" spans="1:26" x14ac:dyDescent="0.25">
      <c r="A138" t="s">
        <v>369</v>
      </c>
      <c r="B138" t="s">
        <v>363</v>
      </c>
      <c r="C138" t="s">
        <v>370</v>
      </c>
      <c r="D138">
        <v>13478602</v>
      </c>
      <c r="E138">
        <v>0</v>
      </c>
      <c r="F138">
        <v>13478602</v>
      </c>
      <c r="G138">
        <v>3074.23</v>
      </c>
      <c r="H138">
        <v>27</v>
      </c>
      <c r="I138">
        <v>0</v>
      </c>
      <c r="J138">
        <v>27</v>
      </c>
      <c r="K138">
        <v>0</v>
      </c>
      <c r="L138">
        <v>0</v>
      </c>
      <c r="M138">
        <v>0</v>
      </c>
      <c r="N138">
        <v>0</v>
      </c>
      <c r="O138">
        <v>0</v>
      </c>
      <c r="P138">
        <v>0.22800000000000001</v>
      </c>
      <c r="Q138">
        <v>27.228000000000002</v>
      </c>
      <c r="R138">
        <v>0</v>
      </c>
      <c r="S138">
        <v>0</v>
      </c>
      <c r="T138">
        <v>0</v>
      </c>
      <c r="U138">
        <v>0</v>
      </c>
      <c r="V138">
        <v>0</v>
      </c>
      <c r="W138">
        <v>27.228000000000002</v>
      </c>
      <c r="X138">
        <v>252.99199999999999</v>
      </c>
      <c r="Y138">
        <v>3454620.19</v>
      </c>
      <c r="Z138">
        <v>3043181</v>
      </c>
    </row>
    <row r="139" spans="1:26" x14ac:dyDescent="0.25">
      <c r="A139" t="s">
        <v>371</v>
      </c>
      <c r="B139" t="s">
        <v>372</v>
      </c>
      <c r="C139" t="s">
        <v>373</v>
      </c>
      <c r="D139">
        <v>1236232913</v>
      </c>
      <c r="E139">
        <v>-48388044</v>
      </c>
      <c r="F139">
        <v>1187844869</v>
      </c>
      <c r="G139">
        <v>1248535.17</v>
      </c>
      <c r="H139">
        <v>27</v>
      </c>
      <c r="I139">
        <v>0</v>
      </c>
      <c r="J139">
        <v>27</v>
      </c>
      <c r="K139">
        <v>0</v>
      </c>
      <c r="L139">
        <v>0</v>
      </c>
      <c r="M139">
        <v>0</v>
      </c>
      <c r="N139">
        <v>0</v>
      </c>
      <c r="O139">
        <v>0</v>
      </c>
      <c r="P139">
        <v>1.0509999999999999</v>
      </c>
      <c r="Q139">
        <v>28.050999999999998</v>
      </c>
      <c r="R139">
        <v>14.9</v>
      </c>
      <c r="S139">
        <v>0</v>
      </c>
      <c r="T139">
        <v>0</v>
      </c>
      <c r="U139">
        <v>0</v>
      </c>
      <c r="V139">
        <v>0</v>
      </c>
      <c r="W139">
        <v>28.050999999999998</v>
      </c>
      <c r="X139">
        <v>129.05699999999999</v>
      </c>
      <c r="Y139">
        <v>155065584.93000001</v>
      </c>
      <c r="Z139">
        <v>121262966</v>
      </c>
    </row>
    <row r="140" spans="1:26" x14ac:dyDescent="0.25">
      <c r="A140" t="s">
        <v>374</v>
      </c>
      <c r="B140" t="s">
        <v>372</v>
      </c>
      <c r="C140" t="s">
        <v>375</v>
      </c>
      <c r="D140">
        <v>888510287</v>
      </c>
      <c r="E140">
        <v>-19862364</v>
      </c>
      <c r="F140">
        <v>868647923</v>
      </c>
      <c r="G140">
        <v>46584.89</v>
      </c>
      <c r="H140">
        <v>27</v>
      </c>
      <c r="I140">
        <v>0</v>
      </c>
      <c r="J140">
        <v>27</v>
      </c>
      <c r="K140">
        <v>0</v>
      </c>
      <c r="L140">
        <v>0</v>
      </c>
      <c r="M140">
        <v>0</v>
      </c>
      <c r="N140">
        <v>0</v>
      </c>
      <c r="O140">
        <v>0</v>
      </c>
      <c r="P140">
        <v>0</v>
      </c>
      <c r="Q140">
        <v>27</v>
      </c>
      <c r="R140">
        <v>12.962999999999999</v>
      </c>
      <c r="S140">
        <v>0</v>
      </c>
      <c r="T140">
        <v>0</v>
      </c>
      <c r="U140">
        <v>0</v>
      </c>
      <c r="V140">
        <v>0</v>
      </c>
      <c r="W140">
        <v>27</v>
      </c>
      <c r="X140">
        <v>110.73</v>
      </c>
      <c r="Y140">
        <v>98173042.159999996</v>
      </c>
      <c r="Z140">
        <v>72680826</v>
      </c>
    </row>
    <row r="141" spans="1:26" x14ac:dyDescent="0.25">
      <c r="A141" t="s">
        <v>376</v>
      </c>
      <c r="B141" t="s">
        <v>377</v>
      </c>
      <c r="C141" t="s">
        <v>378</v>
      </c>
      <c r="D141">
        <v>560088190</v>
      </c>
      <c r="E141">
        <v>0</v>
      </c>
      <c r="F141">
        <v>560088190</v>
      </c>
      <c r="G141">
        <v>25.21</v>
      </c>
      <c r="H141">
        <v>5.7670000000000003</v>
      </c>
      <c r="I141">
        <v>0</v>
      </c>
      <c r="J141">
        <v>5.7670000000000003</v>
      </c>
      <c r="K141">
        <v>0</v>
      </c>
      <c r="L141">
        <v>0</v>
      </c>
      <c r="M141">
        <v>0</v>
      </c>
      <c r="N141">
        <v>0</v>
      </c>
      <c r="O141">
        <v>0.72199999999999998</v>
      </c>
      <c r="P141">
        <v>0</v>
      </c>
      <c r="Q141">
        <v>6.4890000000000008</v>
      </c>
      <c r="R141">
        <v>8.2119999999999997</v>
      </c>
      <c r="S141">
        <v>0</v>
      </c>
      <c r="T141">
        <v>0</v>
      </c>
      <c r="U141">
        <v>0</v>
      </c>
      <c r="V141">
        <v>0</v>
      </c>
      <c r="W141">
        <v>6.4890000000000008</v>
      </c>
      <c r="X141">
        <v>12.587999999999999</v>
      </c>
      <c r="Y141">
        <v>7122858.3899999997</v>
      </c>
      <c r="Z141">
        <v>3794194</v>
      </c>
    </row>
    <row r="142" spans="1:26" x14ac:dyDescent="0.25">
      <c r="A142" t="s">
        <v>379</v>
      </c>
      <c r="B142" t="s">
        <v>377</v>
      </c>
      <c r="C142" t="s">
        <v>380</v>
      </c>
      <c r="D142">
        <v>274192770</v>
      </c>
      <c r="E142">
        <v>0</v>
      </c>
      <c r="F142">
        <v>274192770</v>
      </c>
      <c r="G142">
        <v>71389.209999999992</v>
      </c>
      <c r="H142">
        <v>6.1429999999999998</v>
      </c>
      <c r="I142">
        <v>2.0270000000000001</v>
      </c>
      <c r="J142">
        <v>4.1159999999999997</v>
      </c>
      <c r="K142">
        <v>0</v>
      </c>
      <c r="L142">
        <v>0</v>
      </c>
      <c r="M142">
        <v>2.4470000000000001</v>
      </c>
      <c r="N142">
        <v>0</v>
      </c>
      <c r="O142">
        <v>2.67</v>
      </c>
      <c r="P142">
        <v>0.26</v>
      </c>
      <c r="Q142">
        <v>9.4930000000000003</v>
      </c>
      <c r="R142">
        <v>0</v>
      </c>
      <c r="S142">
        <v>0.96499999999999997</v>
      </c>
      <c r="T142">
        <v>0</v>
      </c>
      <c r="U142">
        <v>0</v>
      </c>
      <c r="V142">
        <v>0</v>
      </c>
      <c r="W142">
        <v>10.458</v>
      </c>
      <c r="X142">
        <v>17.64</v>
      </c>
      <c r="Y142">
        <v>4983519.76</v>
      </c>
      <c r="Z142">
        <v>3761012</v>
      </c>
    </row>
    <row r="143" spans="1:26" x14ac:dyDescent="0.25">
      <c r="A143" t="s">
        <v>381</v>
      </c>
      <c r="B143" t="s">
        <v>382</v>
      </c>
      <c r="C143" t="s">
        <v>383</v>
      </c>
      <c r="D143">
        <v>98215782</v>
      </c>
      <c r="E143">
        <v>0</v>
      </c>
      <c r="F143">
        <v>98215782</v>
      </c>
      <c r="G143">
        <v>628.75</v>
      </c>
      <c r="H143">
        <v>27</v>
      </c>
      <c r="I143">
        <v>8.6920000000000002</v>
      </c>
      <c r="J143">
        <v>18.308</v>
      </c>
      <c r="K143">
        <v>0</v>
      </c>
      <c r="L143">
        <v>0</v>
      </c>
      <c r="M143">
        <v>0</v>
      </c>
      <c r="N143">
        <v>0</v>
      </c>
      <c r="O143">
        <v>9</v>
      </c>
      <c r="P143">
        <v>6.0000000000000001E-3</v>
      </c>
      <c r="Q143">
        <v>27.314</v>
      </c>
      <c r="R143">
        <v>13.367000000000001</v>
      </c>
      <c r="S143">
        <v>0</v>
      </c>
      <c r="T143">
        <v>0</v>
      </c>
      <c r="U143">
        <v>0</v>
      </c>
      <c r="V143">
        <v>0</v>
      </c>
      <c r="W143">
        <v>27.314</v>
      </c>
      <c r="X143">
        <v>46.341999999999999</v>
      </c>
      <c r="Y143">
        <v>4767206.7699999996</v>
      </c>
      <c r="Z143">
        <v>2755559</v>
      </c>
    </row>
    <row r="144" spans="1:26" x14ac:dyDescent="0.25">
      <c r="A144" t="s">
        <v>384</v>
      </c>
      <c r="B144" t="s">
        <v>382</v>
      </c>
      <c r="C144" t="s">
        <v>385</v>
      </c>
      <c r="D144">
        <v>66545953</v>
      </c>
      <c r="E144">
        <v>0</v>
      </c>
      <c r="F144">
        <v>66545953</v>
      </c>
      <c r="G144">
        <v>272.02</v>
      </c>
      <c r="H144">
        <v>27</v>
      </c>
      <c r="I144">
        <v>0</v>
      </c>
      <c r="J144">
        <v>27</v>
      </c>
      <c r="K144">
        <v>0</v>
      </c>
      <c r="L144">
        <v>0</v>
      </c>
      <c r="M144">
        <v>0</v>
      </c>
      <c r="N144">
        <v>0</v>
      </c>
      <c r="O144">
        <v>2.93</v>
      </c>
      <c r="P144">
        <v>4.0000000000000001E-3</v>
      </c>
      <c r="Q144">
        <v>29.934000000000001</v>
      </c>
      <c r="R144">
        <v>9</v>
      </c>
      <c r="S144">
        <v>0</v>
      </c>
      <c r="T144">
        <v>0</v>
      </c>
      <c r="U144">
        <v>0</v>
      </c>
      <c r="V144">
        <v>0</v>
      </c>
      <c r="W144">
        <v>29.934000000000001</v>
      </c>
      <c r="X144">
        <v>161.84200000000001</v>
      </c>
      <c r="Y144">
        <v>11027692.5</v>
      </c>
      <c r="Z144">
        <v>8975063</v>
      </c>
    </row>
    <row r="145" spans="1:26" x14ac:dyDescent="0.25">
      <c r="A145" t="s">
        <v>386</v>
      </c>
      <c r="B145" t="s">
        <v>382</v>
      </c>
      <c r="C145" t="s">
        <v>387</v>
      </c>
      <c r="D145">
        <v>42938347</v>
      </c>
      <c r="E145">
        <v>0</v>
      </c>
      <c r="F145">
        <v>42938347</v>
      </c>
      <c r="G145">
        <v>0.56000000000000005</v>
      </c>
      <c r="H145">
        <v>27</v>
      </c>
      <c r="I145">
        <v>0</v>
      </c>
      <c r="J145">
        <v>27</v>
      </c>
      <c r="K145">
        <v>0</v>
      </c>
      <c r="L145">
        <v>0</v>
      </c>
      <c r="M145">
        <v>0</v>
      </c>
      <c r="N145">
        <v>0</v>
      </c>
      <c r="O145">
        <v>1.7470000000000001</v>
      </c>
      <c r="P145">
        <v>0</v>
      </c>
      <c r="Q145">
        <v>28.747</v>
      </c>
      <c r="R145">
        <v>9.0779999999999994</v>
      </c>
      <c r="S145">
        <v>0</v>
      </c>
      <c r="T145">
        <v>0</v>
      </c>
      <c r="U145">
        <v>0</v>
      </c>
      <c r="V145">
        <v>0</v>
      </c>
      <c r="W145">
        <v>28.747</v>
      </c>
      <c r="X145">
        <v>95.176000000000002</v>
      </c>
      <c r="Y145">
        <v>4219755.97</v>
      </c>
      <c r="Z145">
        <v>2927981</v>
      </c>
    </row>
    <row r="146" spans="1:26" x14ac:dyDescent="0.25">
      <c r="A146" t="s">
        <v>388</v>
      </c>
      <c r="B146" t="s">
        <v>389</v>
      </c>
      <c r="C146" t="s">
        <v>390</v>
      </c>
      <c r="D146">
        <v>131076800</v>
      </c>
      <c r="E146">
        <v>0</v>
      </c>
      <c r="F146">
        <v>131076800</v>
      </c>
      <c r="G146">
        <v>63895.81</v>
      </c>
      <c r="H146">
        <v>27</v>
      </c>
      <c r="I146">
        <v>4.4139999999999997</v>
      </c>
      <c r="J146">
        <v>22.585999999999999</v>
      </c>
      <c r="K146">
        <v>0</v>
      </c>
      <c r="L146">
        <v>0</v>
      </c>
      <c r="M146">
        <v>0</v>
      </c>
      <c r="N146">
        <v>0</v>
      </c>
      <c r="O146">
        <v>6.9080000000000004</v>
      </c>
      <c r="P146">
        <v>0.48699999999999999</v>
      </c>
      <c r="Q146">
        <v>29.980999999999998</v>
      </c>
      <c r="R146">
        <v>14.839</v>
      </c>
      <c r="S146">
        <v>0</v>
      </c>
      <c r="T146">
        <v>0</v>
      </c>
      <c r="U146">
        <v>0</v>
      </c>
      <c r="V146">
        <v>0</v>
      </c>
      <c r="W146">
        <v>29.980999999999998</v>
      </c>
      <c r="X146">
        <v>36.948</v>
      </c>
      <c r="Y146">
        <v>5038887.46</v>
      </c>
      <c r="Z146">
        <v>1892894</v>
      </c>
    </row>
    <row r="147" spans="1:26" x14ac:dyDescent="0.25">
      <c r="A147" t="s">
        <v>391</v>
      </c>
      <c r="B147" t="s">
        <v>389</v>
      </c>
      <c r="C147" t="s">
        <v>392</v>
      </c>
      <c r="D147">
        <v>1138972450</v>
      </c>
      <c r="E147">
        <v>-56339404</v>
      </c>
      <c r="F147">
        <v>1082633046</v>
      </c>
      <c r="G147">
        <v>61559.929999999993</v>
      </c>
      <c r="H147">
        <v>8.5960000000000001</v>
      </c>
      <c r="I147">
        <v>0</v>
      </c>
      <c r="J147">
        <v>8.5960000000000001</v>
      </c>
      <c r="K147">
        <v>0</v>
      </c>
      <c r="L147">
        <v>0</v>
      </c>
      <c r="M147">
        <v>0.98299999999999998</v>
      </c>
      <c r="N147">
        <v>0</v>
      </c>
      <c r="O147">
        <v>5.2309999999999999</v>
      </c>
      <c r="P147">
        <v>5.7000000000000002E-2</v>
      </c>
      <c r="Q147">
        <v>14.867000000000001</v>
      </c>
      <c r="R147">
        <v>8.702</v>
      </c>
      <c r="S147">
        <v>0</v>
      </c>
      <c r="T147">
        <v>0</v>
      </c>
      <c r="U147">
        <v>1.1459999999999999</v>
      </c>
      <c r="V147">
        <v>0</v>
      </c>
      <c r="W147">
        <v>16.013000000000002</v>
      </c>
      <c r="X147">
        <v>22.792999999999999</v>
      </c>
      <c r="Y147">
        <v>26819236.190000001</v>
      </c>
      <c r="Z147">
        <v>16552815</v>
      </c>
    </row>
    <row r="148" spans="1:26" x14ac:dyDescent="0.25">
      <c r="A148" t="s">
        <v>393</v>
      </c>
      <c r="B148" t="s">
        <v>389</v>
      </c>
      <c r="C148" t="s">
        <v>394</v>
      </c>
      <c r="D148">
        <v>99967890</v>
      </c>
      <c r="E148">
        <v>0</v>
      </c>
      <c r="F148">
        <v>99967890</v>
      </c>
      <c r="G148">
        <v>6070.39</v>
      </c>
      <c r="H148">
        <v>27</v>
      </c>
      <c r="I148">
        <v>5.7169999999999996</v>
      </c>
      <c r="J148">
        <v>21.283000000000001</v>
      </c>
      <c r="K148">
        <v>0</v>
      </c>
      <c r="L148">
        <v>0</v>
      </c>
      <c r="M148">
        <v>0</v>
      </c>
      <c r="N148">
        <v>0</v>
      </c>
      <c r="O148">
        <v>11.648999999999999</v>
      </c>
      <c r="P148">
        <v>8.6999999999999994E-2</v>
      </c>
      <c r="Q148">
        <v>33.019000000000005</v>
      </c>
      <c r="R148">
        <v>0</v>
      </c>
      <c r="S148">
        <v>2.379</v>
      </c>
      <c r="T148">
        <v>0</v>
      </c>
      <c r="U148">
        <v>0</v>
      </c>
      <c r="V148">
        <v>6.7320000000000002</v>
      </c>
      <c r="W148">
        <v>42.13000000000001</v>
      </c>
      <c r="X148">
        <v>41.64</v>
      </c>
      <c r="Y148">
        <v>4306820.08</v>
      </c>
      <c r="Z148">
        <v>2037910</v>
      </c>
    </row>
    <row r="149" spans="1:26" x14ac:dyDescent="0.25">
      <c r="A149" t="s">
        <v>395</v>
      </c>
      <c r="B149" t="s">
        <v>396</v>
      </c>
      <c r="C149" t="s">
        <v>397</v>
      </c>
      <c r="D149">
        <v>27733892</v>
      </c>
      <c r="E149">
        <v>0</v>
      </c>
      <c r="F149">
        <v>27733892</v>
      </c>
      <c r="G149">
        <v>224.19</v>
      </c>
      <c r="H149">
        <v>27</v>
      </c>
      <c r="I149">
        <v>1.4419999999999999</v>
      </c>
      <c r="J149">
        <v>25.558</v>
      </c>
      <c r="K149">
        <v>0</v>
      </c>
      <c r="L149">
        <v>0</v>
      </c>
      <c r="M149">
        <v>0</v>
      </c>
      <c r="N149">
        <v>0</v>
      </c>
      <c r="O149">
        <v>0</v>
      </c>
      <c r="P149">
        <v>0</v>
      </c>
      <c r="Q149">
        <v>25.558</v>
      </c>
      <c r="R149">
        <v>10.457000000000001</v>
      </c>
      <c r="S149">
        <v>0</v>
      </c>
      <c r="T149">
        <v>0</v>
      </c>
      <c r="U149">
        <v>0</v>
      </c>
      <c r="V149">
        <v>0</v>
      </c>
      <c r="W149">
        <v>25.558</v>
      </c>
      <c r="X149">
        <v>96.531999999999996</v>
      </c>
      <c r="Y149">
        <v>2723078.91</v>
      </c>
      <c r="Z149">
        <v>1941350</v>
      </c>
    </row>
    <row r="150" spans="1:26" x14ac:dyDescent="0.25">
      <c r="A150" t="s">
        <v>398</v>
      </c>
      <c r="B150" t="s">
        <v>396</v>
      </c>
      <c r="C150" t="s">
        <v>314</v>
      </c>
      <c r="D150">
        <v>32226512</v>
      </c>
      <c r="E150">
        <v>0</v>
      </c>
      <c r="F150">
        <v>32226512</v>
      </c>
      <c r="G150">
        <v>4519.59</v>
      </c>
      <c r="H150">
        <v>27</v>
      </c>
      <c r="I150">
        <v>0</v>
      </c>
      <c r="J150">
        <v>27</v>
      </c>
      <c r="K150">
        <v>0</v>
      </c>
      <c r="L150">
        <v>0</v>
      </c>
      <c r="M150">
        <v>0</v>
      </c>
      <c r="N150">
        <v>0</v>
      </c>
      <c r="O150">
        <v>7.3449999999999998</v>
      </c>
      <c r="P150">
        <v>0.14099999999999999</v>
      </c>
      <c r="Q150">
        <v>34.485999999999997</v>
      </c>
      <c r="R150">
        <v>12.36</v>
      </c>
      <c r="S150">
        <v>0</v>
      </c>
      <c r="T150">
        <v>0</v>
      </c>
      <c r="U150">
        <v>0</v>
      </c>
      <c r="V150">
        <v>0</v>
      </c>
      <c r="W150">
        <v>34.485999999999997</v>
      </c>
      <c r="X150">
        <v>109.745</v>
      </c>
      <c r="Y150">
        <v>3861075.65</v>
      </c>
      <c r="Z150">
        <v>2554170</v>
      </c>
    </row>
    <row r="151" spans="1:26" x14ac:dyDescent="0.25">
      <c r="A151" t="s">
        <v>399</v>
      </c>
      <c r="B151" t="s">
        <v>396</v>
      </c>
      <c r="C151" t="s">
        <v>400</v>
      </c>
      <c r="D151">
        <v>38528484</v>
      </c>
      <c r="E151">
        <v>0</v>
      </c>
      <c r="F151">
        <v>38528484</v>
      </c>
      <c r="G151">
        <v>2344.59</v>
      </c>
      <c r="H151">
        <v>27</v>
      </c>
      <c r="I151">
        <v>0</v>
      </c>
      <c r="J151">
        <v>27</v>
      </c>
      <c r="K151">
        <v>0</v>
      </c>
      <c r="L151">
        <v>0</v>
      </c>
      <c r="M151">
        <v>0</v>
      </c>
      <c r="N151">
        <v>0</v>
      </c>
      <c r="O151">
        <v>0</v>
      </c>
      <c r="P151">
        <v>6.0999999999999999E-2</v>
      </c>
      <c r="Q151">
        <v>27.061</v>
      </c>
      <c r="R151">
        <v>9.07</v>
      </c>
      <c r="S151">
        <v>0</v>
      </c>
      <c r="T151">
        <v>0</v>
      </c>
      <c r="U151">
        <v>0</v>
      </c>
      <c r="V151">
        <v>0</v>
      </c>
      <c r="W151">
        <v>27.061</v>
      </c>
      <c r="X151">
        <v>179.816</v>
      </c>
      <c r="Y151">
        <v>7118095.5300000003</v>
      </c>
      <c r="Z151">
        <v>5900015</v>
      </c>
    </row>
    <row r="152" spans="1:26" x14ac:dyDescent="0.25">
      <c r="A152" t="s">
        <v>401</v>
      </c>
      <c r="B152" t="s">
        <v>402</v>
      </c>
      <c r="C152" t="s">
        <v>403</v>
      </c>
      <c r="D152">
        <v>53479692</v>
      </c>
      <c r="E152">
        <v>0</v>
      </c>
      <c r="F152">
        <v>53479692</v>
      </c>
      <c r="G152">
        <v>4377.84</v>
      </c>
      <c r="H152">
        <v>15.009</v>
      </c>
      <c r="I152">
        <v>2.044</v>
      </c>
      <c r="J152">
        <v>12.965</v>
      </c>
      <c r="K152">
        <v>0</v>
      </c>
      <c r="L152">
        <v>0</v>
      </c>
      <c r="M152">
        <v>0.371</v>
      </c>
      <c r="N152">
        <v>0</v>
      </c>
      <c r="O152">
        <v>0</v>
      </c>
      <c r="P152">
        <v>8.2000000000000003E-2</v>
      </c>
      <c r="Q152">
        <v>13.418000000000001</v>
      </c>
      <c r="R152">
        <v>1.6</v>
      </c>
      <c r="S152">
        <v>0</v>
      </c>
      <c r="T152">
        <v>0</v>
      </c>
      <c r="U152">
        <v>0</v>
      </c>
      <c r="V152">
        <v>0</v>
      </c>
      <c r="W152">
        <v>13.418000000000001</v>
      </c>
      <c r="X152">
        <v>32.561</v>
      </c>
      <c r="Y152">
        <v>1770145.84</v>
      </c>
      <c r="Z152">
        <v>1042227</v>
      </c>
    </row>
    <row r="153" spans="1:26" x14ac:dyDescent="0.25">
      <c r="A153" t="s">
        <v>404</v>
      </c>
      <c r="B153" t="s">
        <v>405</v>
      </c>
      <c r="C153" t="s">
        <v>406</v>
      </c>
      <c r="D153">
        <v>914809044</v>
      </c>
      <c r="E153">
        <v>0</v>
      </c>
      <c r="F153">
        <v>914809044</v>
      </c>
      <c r="G153">
        <v>34994.99</v>
      </c>
      <c r="H153">
        <v>7.2809999999999997</v>
      </c>
      <c r="I153">
        <v>0</v>
      </c>
      <c r="J153">
        <v>7.2809999999999997</v>
      </c>
      <c r="K153">
        <v>0</v>
      </c>
      <c r="L153">
        <v>0</v>
      </c>
      <c r="M153">
        <v>0</v>
      </c>
      <c r="N153">
        <v>0</v>
      </c>
      <c r="O153">
        <v>3.68</v>
      </c>
      <c r="P153">
        <v>3.7999999999999999E-2</v>
      </c>
      <c r="Q153">
        <v>10.999000000000001</v>
      </c>
      <c r="R153">
        <v>2.0219999999999998</v>
      </c>
      <c r="S153">
        <v>0.24099999999999999</v>
      </c>
      <c r="T153">
        <v>0</v>
      </c>
      <c r="U153">
        <v>0</v>
      </c>
      <c r="V153">
        <v>0</v>
      </c>
      <c r="W153">
        <v>11.24</v>
      </c>
      <c r="X153">
        <v>12.756</v>
      </c>
      <c r="Y153">
        <v>11865998.57</v>
      </c>
      <c r="Z153">
        <v>5008734</v>
      </c>
    </row>
    <row r="154" spans="1:26" x14ac:dyDescent="0.25">
      <c r="A154" t="s">
        <v>407</v>
      </c>
      <c r="B154" t="s">
        <v>405</v>
      </c>
      <c r="C154" t="s">
        <v>408</v>
      </c>
      <c r="D154">
        <v>51050886</v>
      </c>
      <c r="E154">
        <v>0</v>
      </c>
      <c r="F154">
        <v>51050886</v>
      </c>
      <c r="G154">
        <v>177.52</v>
      </c>
      <c r="H154">
        <v>16.998999999999999</v>
      </c>
      <c r="I154">
        <v>11.089</v>
      </c>
      <c r="J154">
        <v>5.91</v>
      </c>
      <c r="K154">
        <v>0</v>
      </c>
      <c r="L154">
        <v>0</v>
      </c>
      <c r="M154">
        <v>0</v>
      </c>
      <c r="N154">
        <v>0</v>
      </c>
      <c r="O154">
        <v>7.7919999999999998</v>
      </c>
      <c r="P154">
        <v>4.0000000000000001E-3</v>
      </c>
      <c r="Q154">
        <v>13.706</v>
      </c>
      <c r="R154">
        <v>0</v>
      </c>
      <c r="S154">
        <v>0</v>
      </c>
      <c r="T154">
        <v>0</v>
      </c>
      <c r="U154">
        <v>0</v>
      </c>
      <c r="V154">
        <v>0</v>
      </c>
      <c r="W154">
        <v>13.706</v>
      </c>
      <c r="X154">
        <v>63.527999999999999</v>
      </c>
      <c r="Y154">
        <v>3312990.93</v>
      </c>
      <c r="Z154">
        <v>2993202</v>
      </c>
    </row>
    <row r="155" spans="1:26" x14ac:dyDescent="0.25">
      <c r="A155" t="s">
        <v>409</v>
      </c>
      <c r="B155" t="s">
        <v>410</v>
      </c>
      <c r="C155" t="s">
        <v>411</v>
      </c>
      <c r="D155">
        <v>31962896</v>
      </c>
      <c r="E155">
        <v>0</v>
      </c>
      <c r="F155">
        <v>31962896</v>
      </c>
      <c r="G155">
        <v>642.47</v>
      </c>
      <c r="H155">
        <v>27</v>
      </c>
      <c r="I155">
        <v>0</v>
      </c>
      <c r="J155">
        <v>27</v>
      </c>
      <c r="K155">
        <v>0</v>
      </c>
      <c r="L155">
        <v>0</v>
      </c>
      <c r="M155">
        <v>0</v>
      </c>
      <c r="N155">
        <v>0</v>
      </c>
      <c r="O155">
        <v>0</v>
      </c>
      <c r="P155">
        <v>0.02</v>
      </c>
      <c r="Q155">
        <v>27.02</v>
      </c>
      <c r="R155">
        <v>14.698</v>
      </c>
      <c r="S155">
        <v>0</v>
      </c>
      <c r="T155">
        <v>0</v>
      </c>
      <c r="U155">
        <v>0</v>
      </c>
      <c r="V155">
        <v>0</v>
      </c>
      <c r="W155">
        <v>27.02</v>
      </c>
      <c r="X155">
        <v>237.32300000000001</v>
      </c>
      <c r="Y155">
        <v>7554255.9199999999</v>
      </c>
      <c r="Z155">
        <v>6593172</v>
      </c>
    </row>
    <row r="156" spans="1:26" x14ac:dyDescent="0.25">
      <c r="A156" t="s">
        <v>412</v>
      </c>
      <c r="B156" t="s">
        <v>410</v>
      </c>
      <c r="C156" t="s">
        <v>413</v>
      </c>
      <c r="D156">
        <v>27467359</v>
      </c>
      <c r="E156">
        <v>0</v>
      </c>
      <c r="F156">
        <v>27467359</v>
      </c>
      <c r="G156">
        <v>654.05999999999995</v>
      </c>
      <c r="H156">
        <v>27</v>
      </c>
      <c r="I156">
        <v>2.0579999999999998</v>
      </c>
      <c r="J156">
        <v>24.942</v>
      </c>
      <c r="K156">
        <v>0</v>
      </c>
      <c r="L156">
        <v>0</v>
      </c>
      <c r="M156">
        <v>2.702</v>
      </c>
      <c r="N156">
        <v>0</v>
      </c>
      <c r="O156">
        <v>0</v>
      </c>
      <c r="P156">
        <v>2.4E-2</v>
      </c>
      <c r="Q156">
        <v>27.667999999999999</v>
      </c>
      <c r="R156">
        <v>14</v>
      </c>
      <c r="S156">
        <v>0</v>
      </c>
      <c r="T156">
        <v>0</v>
      </c>
      <c r="U156">
        <v>0</v>
      </c>
      <c r="V156">
        <v>0</v>
      </c>
      <c r="W156">
        <v>27.667999999999999</v>
      </c>
      <c r="X156">
        <v>86.873000000000005</v>
      </c>
      <c r="Y156">
        <v>2472804.35</v>
      </c>
      <c r="Z156">
        <v>1700823</v>
      </c>
    </row>
    <row r="157" spans="1:26" x14ac:dyDescent="0.25">
      <c r="A157" t="s">
        <v>414</v>
      </c>
      <c r="B157" t="s">
        <v>415</v>
      </c>
      <c r="C157" t="s">
        <v>415</v>
      </c>
      <c r="D157">
        <v>2449685940</v>
      </c>
      <c r="E157">
        <v>-40636540</v>
      </c>
      <c r="F157">
        <v>2409049400</v>
      </c>
      <c r="G157">
        <v>101711.56</v>
      </c>
      <c r="H157">
        <v>10.666</v>
      </c>
      <c r="I157">
        <v>0</v>
      </c>
      <c r="J157">
        <v>10.666</v>
      </c>
      <c r="K157">
        <v>0</v>
      </c>
      <c r="L157">
        <v>0</v>
      </c>
      <c r="M157">
        <v>0.61199999999999999</v>
      </c>
      <c r="N157">
        <v>0</v>
      </c>
      <c r="O157">
        <v>2.375</v>
      </c>
      <c r="P157">
        <v>4.2000000000000003E-2</v>
      </c>
      <c r="Q157">
        <v>13.695</v>
      </c>
      <c r="R157">
        <v>3.8109999999999999</v>
      </c>
      <c r="S157">
        <v>0.36499999999999999</v>
      </c>
      <c r="T157">
        <v>0</v>
      </c>
      <c r="U157">
        <v>1</v>
      </c>
      <c r="V157">
        <v>0</v>
      </c>
      <c r="W157">
        <v>15.06</v>
      </c>
      <c r="X157">
        <v>14.571999999999999</v>
      </c>
      <c r="Y157">
        <v>36810687.869999997</v>
      </c>
      <c r="Z157">
        <v>9438594</v>
      </c>
    </row>
    <row r="158" spans="1:26" x14ac:dyDescent="0.25">
      <c r="A158" t="s">
        <v>416</v>
      </c>
      <c r="B158" t="s">
        <v>417</v>
      </c>
      <c r="C158" t="s">
        <v>418</v>
      </c>
      <c r="D158">
        <v>369260500</v>
      </c>
      <c r="E158">
        <v>0</v>
      </c>
      <c r="F158">
        <v>369260500</v>
      </c>
      <c r="G158">
        <v>3198.85</v>
      </c>
      <c r="H158">
        <v>9.6240000000000006</v>
      </c>
      <c r="I158">
        <v>0</v>
      </c>
      <c r="J158">
        <v>9.6240000000000006</v>
      </c>
      <c r="K158">
        <v>0</v>
      </c>
      <c r="L158">
        <v>0</v>
      </c>
      <c r="M158">
        <v>0</v>
      </c>
      <c r="N158">
        <v>0</v>
      </c>
      <c r="O158">
        <v>1.581</v>
      </c>
      <c r="P158">
        <v>8.9999999999999993E-3</v>
      </c>
      <c r="Q158">
        <v>11.214</v>
      </c>
      <c r="R158">
        <v>2.669</v>
      </c>
      <c r="S158">
        <v>0</v>
      </c>
      <c r="T158">
        <v>0</v>
      </c>
      <c r="U158">
        <v>0</v>
      </c>
      <c r="V158">
        <v>0</v>
      </c>
      <c r="W158">
        <v>11.214</v>
      </c>
      <c r="X158">
        <v>13.8834</v>
      </c>
      <c r="Y158">
        <v>4416504.42</v>
      </c>
      <c r="Z158">
        <v>462889</v>
      </c>
    </row>
    <row r="159" spans="1:26" x14ac:dyDescent="0.25">
      <c r="A159" t="s">
        <v>419</v>
      </c>
      <c r="B159" t="s">
        <v>417</v>
      </c>
      <c r="C159" t="s">
        <v>420</v>
      </c>
      <c r="D159">
        <v>336437600</v>
      </c>
      <c r="E159">
        <v>-9665589</v>
      </c>
      <c r="F159">
        <v>326772011</v>
      </c>
      <c r="G159">
        <v>2695.5</v>
      </c>
      <c r="H159">
        <v>27</v>
      </c>
      <c r="I159">
        <v>2.4500000000000002</v>
      </c>
      <c r="J159">
        <v>24.55</v>
      </c>
      <c r="K159">
        <v>0</v>
      </c>
      <c r="L159">
        <v>0</v>
      </c>
      <c r="M159">
        <v>0</v>
      </c>
      <c r="N159">
        <v>0</v>
      </c>
      <c r="O159">
        <v>3.3660000000000001</v>
      </c>
      <c r="P159">
        <v>8.0000000000000002E-3</v>
      </c>
      <c r="Q159">
        <v>27.923999999999999</v>
      </c>
      <c r="R159">
        <v>0</v>
      </c>
      <c r="S159">
        <v>0</v>
      </c>
      <c r="T159">
        <v>0</v>
      </c>
      <c r="U159">
        <v>0</v>
      </c>
      <c r="V159">
        <v>0</v>
      </c>
      <c r="W159">
        <v>27.923999999999999</v>
      </c>
      <c r="X159">
        <v>63.576999999999998</v>
      </c>
      <c r="Y159">
        <v>21606210.420000002</v>
      </c>
      <c r="Z159">
        <v>12756227</v>
      </c>
    </row>
    <row r="160" spans="1:26" x14ac:dyDescent="0.25">
      <c r="A160" t="s">
        <v>421</v>
      </c>
      <c r="B160" t="s">
        <v>422</v>
      </c>
      <c r="C160" t="s">
        <v>423</v>
      </c>
      <c r="D160">
        <v>48031749</v>
      </c>
      <c r="E160">
        <v>0</v>
      </c>
      <c r="F160">
        <v>48031749</v>
      </c>
      <c r="G160">
        <v>32350</v>
      </c>
      <c r="H160">
        <v>27</v>
      </c>
      <c r="I160">
        <v>0.56200000000000006</v>
      </c>
      <c r="J160">
        <v>26.437999999999999</v>
      </c>
      <c r="K160">
        <v>0</v>
      </c>
      <c r="L160">
        <v>0</v>
      </c>
      <c r="M160">
        <v>0</v>
      </c>
      <c r="N160">
        <v>0</v>
      </c>
      <c r="O160">
        <v>0</v>
      </c>
      <c r="P160">
        <v>0.16700000000000001</v>
      </c>
      <c r="Q160">
        <v>26.605</v>
      </c>
      <c r="R160">
        <v>10.16</v>
      </c>
      <c r="S160">
        <v>0</v>
      </c>
      <c r="T160">
        <v>0</v>
      </c>
      <c r="U160">
        <v>0</v>
      </c>
      <c r="V160">
        <v>0</v>
      </c>
      <c r="W160">
        <v>26.605</v>
      </c>
      <c r="X160">
        <v>98.361000000000004</v>
      </c>
      <c r="Y160">
        <v>4811205.87</v>
      </c>
      <c r="Z160">
        <v>3418305</v>
      </c>
    </row>
    <row r="161" spans="1:26" x14ac:dyDescent="0.25">
      <c r="A161" t="s">
        <v>424</v>
      </c>
      <c r="B161" t="s">
        <v>422</v>
      </c>
      <c r="C161" t="s">
        <v>425</v>
      </c>
      <c r="D161">
        <v>29821787</v>
      </c>
      <c r="E161">
        <v>0</v>
      </c>
      <c r="F161">
        <v>29821787</v>
      </c>
      <c r="G161">
        <v>46079.7</v>
      </c>
      <c r="H161">
        <v>27</v>
      </c>
      <c r="I161">
        <v>10.819000000000001</v>
      </c>
      <c r="J161">
        <v>16.181000000000001</v>
      </c>
      <c r="K161">
        <v>0</v>
      </c>
      <c r="L161">
        <v>0</v>
      </c>
      <c r="M161">
        <v>0.26200000000000001</v>
      </c>
      <c r="N161">
        <v>0</v>
      </c>
      <c r="O161">
        <v>8.3840000000000003</v>
      </c>
      <c r="P161">
        <v>1.5449999999999999</v>
      </c>
      <c r="Q161">
        <v>26.372</v>
      </c>
      <c r="R161">
        <v>0</v>
      </c>
      <c r="S161">
        <v>0</v>
      </c>
      <c r="T161">
        <v>0</v>
      </c>
      <c r="U161">
        <v>0</v>
      </c>
      <c r="V161">
        <v>0</v>
      </c>
      <c r="W161">
        <v>26.372</v>
      </c>
      <c r="X161">
        <v>62.113999999999997</v>
      </c>
      <c r="Y161">
        <v>1928053.17</v>
      </c>
      <c r="Z161">
        <v>1366864</v>
      </c>
    </row>
    <row r="162" spans="1:26" x14ac:dyDescent="0.25">
      <c r="A162" t="s">
        <v>426</v>
      </c>
      <c r="B162" t="s">
        <v>422</v>
      </c>
      <c r="C162" t="s">
        <v>427</v>
      </c>
      <c r="D162">
        <v>20415588</v>
      </c>
      <c r="E162">
        <v>0</v>
      </c>
      <c r="F162">
        <v>20415588</v>
      </c>
      <c r="G162">
        <v>9248.65</v>
      </c>
      <c r="H162">
        <v>27</v>
      </c>
      <c r="I162">
        <v>0</v>
      </c>
      <c r="J162">
        <v>27</v>
      </c>
      <c r="K162">
        <v>0</v>
      </c>
      <c r="L162">
        <v>0</v>
      </c>
      <c r="M162">
        <v>0</v>
      </c>
      <c r="N162">
        <v>0</v>
      </c>
      <c r="O162">
        <v>0</v>
      </c>
      <c r="P162">
        <v>0.45300000000000001</v>
      </c>
      <c r="Q162">
        <v>27.452999999999999</v>
      </c>
      <c r="R162">
        <v>9.2509999999999994</v>
      </c>
      <c r="S162">
        <v>0</v>
      </c>
      <c r="T162">
        <v>0</v>
      </c>
      <c r="U162">
        <v>0</v>
      </c>
      <c r="V162">
        <v>0</v>
      </c>
      <c r="W162">
        <v>27.452999999999999</v>
      </c>
      <c r="X162">
        <v>160.41</v>
      </c>
      <c r="Y162">
        <v>3331850.92</v>
      </c>
      <c r="Z162">
        <v>2724569</v>
      </c>
    </row>
    <row r="163" spans="1:26" x14ac:dyDescent="0.25">
      <c r="A163" t="s">
        <v>428</v>
      </c>
      <c r="B163" t="s">
        <v>422</v>
      </c>
      <c r="C163" t="s">
        <v>429</v>
      </c>
      <c r="D163">
        <v>22595459</v>
      </c>
      <c r="E163">
        <v>0</v>
      </c>
      <c r="F163">
        <v>22595459</v>
      </c>
      <c r="G163">
        <v>1998.06</v>
      </c>
      <c r="H163">
        <v>27</v>
      </c>
      <c r="I163">
        <v>0</v>
      </c>
      <c r="J163">
        <v>27</v>
      </c>
      <c r="K163">
        <v>0</v>
      </c>
      <c r="L163">
        <v>0</v>
      </c>
      <c r="M163">
        <v>0</v>
      </c>
      <c r="N163">
        <v>0</v>
      </c>
      <c r="O163">
        <v>0</v>
      </c>
      <c r="P163">
        <v>0</v>
      </c>
      <c r="Q163">
        <v>27</v>
      </c>
      <c r="R163">
        <v>0</v>
      </c>
      <c r="S163">
        <v>0</v>
      </c>
      <c r="T163">
        <v>0</v>
      </c>
      <c r="U163">
        <v>0</v>
      </c>
      <c r="V163">
        <v>0</v>
      </c>
      <c r="W163">
        <v>27</v>
      </c>
      <c r="X163">
        <v>100.711</v>
      </c>
      <c r="Y163">
        <v>2326466.5099999998</v>
      </c>
      <c r="Z163">
        <v>1665530</v>
      </c>
    </row>
    <row r="164" spans="1:26" x14ac:dyDescent="0.25">
      <c r="A164" t="s">
        <v>430</v>
      </c>
      <c r="B164" t="s">
        <v>422</v>
      </c>
      <c r="C164" t="s">
        <v>431</v>
      </c>
      <c r="D164">
        <v>37070226</v>
      </c>
      <c r="E164">
        <v>0</v>
      </c>
      <c r="F164">
        <v>37070226</v>
      </c>
      <c r="G164">
        <v>92903.5</v>
      </c>
      <c r="H164">
        <v>27</v>
      </c>
      <c r="I164">
        <v>5.2279999999999998</v>
      </c>
      <c r="J164">
        <v>21.771999999999998</v>
      </c>
      <c r="K164">
        <v>0</v>
      </c>
      <c r="L164">
        <v>0</v>
      </c>
      <c r="M164">
        <v>1.9370000000000001</v>
      </c>
      <c r="N164">
        <v>0</v>
      </c>
      <c r="O164">
        <v>3.9009999999999998</v>
      </c>
      <c r="P164">
        <v>8.8999999999999996E-2</v>
      </c>
      <c r="Q164">
        <v>27.698999999999998</v>
      </c>
      <c r="R164">
        <v>0</v>
      </c>
      <c r="S164">
        <v>0</v>
      </c>
      <c r="T164">
        <v>0</v>
      </c>
      <c r="U164">
        <v>0</v>
      </c>
      <c r="V164">
        <v>0</v>
      </c>
      <c r="W164">
        <v>27.698999999999998</v>
      </c>
      <c r="X164">
        <v>37.409999999999997</v>
      </c>
      <c r="Y164">
        <v>1518430.27</v>
      </c>
      <c r="Z164">
        <v>438000</v>
      </c>
    </row>
    <row r="165" spans="1:26" x14ac:dyDescent="0.25">
      <c r="A165" t="s">
        <v>432</v>
      </c>
      <c r="B165" t="s">
        <v>433</v>
      </c>
      <c r="C165" t="s">
        <v>434</v>
      </c>
      <c r="D165">
        <v>1584484550</v>
      </c>
      <c r="E165">
        <v>-172311</v>
      </c>
      <c r="F165">
        <v>1584312239</v>
      </c>
      <c r="G165">
        <v>2888.37</v>
      </c>
      <c r="H165">
        <v>9.6389999999999993</v>
      </c>
      <c r="I165">
        <v>1.4390000000000001</v>
      </c>
      <c r="J165">
        <v>8.1999999999999993</v>
      </c>
      <c r="K165">
        <v>0</v>
      </c>
      <c r="L165">
        <v>0</v>
      </c>
      <c r="M165">
        <v>0</v>
      </c>
      <c r="N165">
        <v>0</v>
      </c>
      <c r="O165">
        <v>2.464</v>
      </c>
      <c r="P165">
        <v>1E-3</v>
      </c>
      <c r="Q165">
        <v>10.664999999999999</v>
      </c>
      <c r="R165">
        <v>6.0220000000000002</v>
      </c>
      <c r="S165">
        <v>0</v>
      </c>
      <c r="T165">
        <v>0</v>
      </c>
      <c r="U165">
        <v>0</v>
      </c>
      <c r="V165">
        <v>0</v>
      </c>
      <c r="W165">
        <v>10.664999999999999</v>
      </c>
      <c r="X165">
        <v>11.116</v>
      </c>
      <c r="Y165">
        <v>18174298.379999999</v>
      </c>
      <c r="Z165">
        <v>4650506</v>
      </c>
    </row>
    <row r="166" spans="1:26" x14ac:dyDescent="0.25">
      <c r="A166" t="s">
        <v>435</v>
      </c>
      <c r="B166" t="s">
        <v>433</v>
      </c>
      <c r="C166" t="s">
        <v>436</v>
      </c>
      <c r="D166">
        <v>944244100</v>
      </c>
      <c r="E166">
        <v>0</v>
      </c>
      <c r="F166">
        <v>944244100</v>
      </c>
      <c r="G166">
        <v>150424.24</v>
      </c>
      <c r="H166">
        <v>22.207999999999998</v>
      </c>
      <c r="I166">
        <v>0.77</v>
      </c>
      <c r="J166">
        <v>21.437999999999999</v>
      </c>
      <c r="K166">
        <v>0.84499999999999997</v>
      </c>
      <c r="L166">
        <v>0.73299999999999998</v>
      </c>
      <c r="M166">
        <v>0</v>
      </c>
      <c r="N166">
        <v>0</v>
      </c>
      <c r="O166">
        <v>2.86</v>
      </c>
      <c r="P166">
        <v>0.159</v>
      </c>
      <c r="Q166">
        <v>22.878999999999998</v>
      </c>
      <c r="R166">
        <v>10.5</v>
      </c>
      <c r="S166">
        <v>0</v>
      </c>
      <c r="T166">
        <v>0</v>
      </c>
      <c r="U166">
        <v>0</v>
      </c>
      <c r="V166">
        <v>0</v>
      </c>
      <c r="W166">
        <v>22.878999999999998</v>
      </c>
      <c r="X166">
        <v>19.527000000000001</v>
      </c>
      <c r="Y166">
        <v>19514541.68</v>
      </c>
      <c r="Z166">
        <v>0</v>
      </c>
    </row>
    <row r="167" spans="1:26" x14ac:dyDescent="0.25">
      <c r="A167" t="s">
        <v>437</v>
      </c>
      <c r="B167" t="s">
        <v>433</v>
      </c>
      <c r="C167" t="s">
        <v>438</v>
      </c>
      <c r="D167">
        <v>1937180970</v>
      </c>
      <c r="E167">
        <v>0</v>
      </c>
      <c r="F167">
        <v>1937180970</v>
      </c>
      <c r="G167">
        <v>6862.8099999999995</v>
      </c>
      <c r="H167">
        <v>10.845000000000001</v>
      </c>
      <c r="I167">
        <v>0</v>
      </c>
      <c r="J167">
        <v>10.845000000000001</v>
      </c>
      <c r="K167">
        <v>0</v>
      </c>
      <c r="L167">
        <v>0</v>
      </c>
      <c r="M167">
        <v>2.4E-2</v>
      </c>
      <c r="N167">
        <v>0</v>
      </c>
      <c r="O167">
        <v>2.323</v>
      </c>
      <c r="P167">
        <v>3.0000000000000001E-3</v>
      </c>
      <c r="Q167">
        <v>13.195</v>
      </c>
      <c r="R167">
        <v>3.8290000000000002</v>
      </c>
      <c r="S167">
        <v>0</v>
      </c>
      <c r="T167">
        <v>0</v>
      </c>
      <c r="U167">
        <v>0</v>
      </c>
      <c r="V167">
        <v>0</v>
      </c>
      <c r="W167">
        <v>13.195</v>
      </c>
      <c r="X167">
        <v>12.393000000000001</v>
      </c>
      <c r="Y167">
        <v>24992684.260000002</v>
      </c>
      <c r="Z167">
        <v>3015041</v>
      </c>
    </row>
    <row r="168" spans="1:26" x14ac:dyDescent="0.25">
      <c r="A168" t="s">
        <v>439</v>
      </c>
      <c r="B168" t="s">
        <v>433</v>
      </c>
      <c r="C168" t="s">
        <v>440</v>
      </c>
      <c r="D168">
        <v>1632343680</v>
      </c>
      <c r="E168">
        <v>-1059658</v>
      </c>
      <c r="F168">
        <v>1631284022</v>
      </c>
      <c r="G168">
        <v>146562.25</v>
      </c>
      <c r="H168">
        <v>27</v>
      </c>
      <c r="I168">
        <v>0</v>
      </c>
      <c r="J168">
        <v>27</v>
      </c>
      <c r="K168">
        <v>0</v>
      </c>
      <c r="L168">
        <v>0</v>
      </c>
      <c r="M168">
        <v>0</v>
      </c>
      <c r="N168">
        <v>0</v>
      </c>
      <c r="O168">
        <v>5.33</v>
      </c>
      <c r="P168">
        <v>0.09</v>
      </c>
      <c r="Q168">
        <v>32.42</v>
      </c>
      <c r="R168">
        <v>18.459</v>
      </c>
      <c r="S168">
        <v>0</v>
      </c>
      <c r="T168">
        <v>0</v>
      </c>
      <c r="U168">
        <v>0</v>
      </c>
      <c r="V168">
        <v>0</v>
      </c>
      <c r="W168">
        <v>32.42</v>
      </c>
      <c r="X168">
        <v>47.768999999999998</v>
      </c>
      <c r="Y168">
        <v>79330505.340000004</v>
      </c>
      <c r="Z168">
        <v>33664527</v>
      </c>
    </row>
    <row r="169" spans="1:26" x14ac:dyDescent="0.25">
      <c r="A169" t="s">
        <v>441</v>
      </c>
      <c r="B169" t="s">
        <v>433</v>
      </c>
      <c r="C169" t="s">
        <v>442</v>
      </c>
      <c r="D169">
        <v>652112343</v>
      </c>
      <c r="E169">
        <v>0</v>
      </c>
      <c r="F169">
        <v>652112343</v>
      </c>
      <c r="G169">
        <v>89111.4</v>
      </c>
      <c r="H169">
        <v>27</v>
      </c>
      <c r="I169">
        <v>6.5860000000000003</v>
      </c>
      <c r="J169">
        <v>20.414000000000001</v>
      </c>
      <c r="K169">
        <v>0</v>
      </c>
      <c r="L169">
        <v>0</v>
      </c>
      <c r="M169">
        <v>0</v>
      </c>
      <c r="N169">
        <v>0</v>
      </c>
      <c r="O169">
        <v>6.9009999999999998</v>
      </c>
      <c r="P169">
        <v>0.13700000000000001</v>
      </c>
      <c r="Q169">
        <v>27.452000000000002</v>
      </c>
      <c r="R169">
        <v>18.283000000000001</v>
      </c>
      <c r="S169">
        <v>0</v>
      </c>
      <c r="T169">
        <v>0</v>
      </c>
      <c r="U169">
        <v>0</v>
      </c>
      <c r="V169">
        <v>0</v>
      </c>
      <c r="W169">
        <v>27.452000000000002</v>
      </c>
      <c r="X169">
        <v>55.179000000000002</v>
      </c>
      <c r="Y169">
        <v>36374404.950000003</v>
      </c>
      <c r="Z169">
        <v>22712518</v>
      </c>
    </row>
    <row r="170" spans="1:26" x14ac:dyDescent="0.25">
      <c r="A170" t="s">
        <v>443</v>
      </c>
      <c r="B170" t="s">
        <v>433</v>
      </c>
      <c r="C170" t="s">
        <v>444</v>
      </c>
      <c r="D170">
        <v>2711194710</v>
      </c>
      <c r="E170">
        <v>-199536616</v>
      </c>
      <c r="F170">
        <v>2511658094</v>
      </c>
      <c r="G170">
        <v>333884.03999999998</v>
      </c>
      <c r="H170">
        <v>27</v>
      </c>
      <c r="I170">
        <v>0</v>
      </c>
      <c r="J170">
        <v>27</v>
      </c>
      <c r="K170">
        <v>0</v>
      </c>
      <c r="L170">
        <v>0</v>
      </c>
      <c r="M170">
        <v>0</v>
      </c>
      <c r="N170">
        <v>0</v>
      </c>
      <c r="O170">
        <v>10</v>
      </c>
      <c r="P170">
        <v>0.13300000000000001</v>
      </c>
      <c r="Q170">
        <v>37.133000000000003</v>
      </c>
      <c r="R170">
        <v>13.266</v>
      </c>
      <c r="S170">
        <v>0</v>
      </c>
      <c r="T170">
        <v>0</v>
      </c>
      <c r="U170">
        <v>0</v>
      </c>
      <c r="V170">
        <v>0</v>
      </c>
      <c r="W170">
        <v>37.133000000000003</v>
      </c>
      <c r="X170">
        <v>88.712000000000003</v>
      </c>
      <c r="Y170">
        <v>225612866.44</v>
      </c>
      <c r="Z170">
        <v>154688713</v>
      </c>
    </row>
    <row r="171" spans="1:26" x14ac:dyDescent="0.25">
      <c r="A171" t="s">
        <v>445</v>
      </c>
      <c r="B171" t="s">
        <v>433</v>
      </c>
      <c r="C171" t="s">
        <v>446</v>
      </c>
      <c r="D171">
        <v>2467322390</v>
      </c>
      <c r="E171">
        <v>0</v>
      </c>
      <c r="F171">
        <v>2467322390</v>
      </c>
      <c r="G171">
        <v>23274.14</v>
      </c>
      <c r="H171">
        <v>5.6239999999999997</v>
      </c>
      <c r="I171">
        <v>0</v>
      </c>
      <c r="J171">
        <v>5.6239999999999997</v>
      </c>
      <c r="K171">
        <v>0.27</v>
      </c>
      <c r="L171">
        <v>0.88300000000000001</v>
      </c>
      <c r="M171">
        <v>0</v>
      </c>
      <c r="N171">
        <v>0</v>
      </c>
      <c r="O171">
        <v>1.177</v>
      </c>
      <c r="P171">
        <v>0</v>
      </c>
      <c r="Q171">
        <v>5.6479999999999997</v>
      </c>
      <c r="R171">
        <v>2.7519999999999998</v>
      </c>
      <c r="S171">
        <v>0</v>
      </c>
      <c r="T171">
        <v>0</v>
      </c>
      <c r="U171">
        <v>0</v>
      </c>
      <c r="V171">
        <v>0</v>
      </c>
      <c r="W171">
        <v>5.6479999999999997</v>
      </c>
      <c r="X171">
        <v>4.4710000000000001</v>
      </c>
      <c r="Y171">
        <v>11364072.85</v>
      </c>
      <c r="Z171">
        <v>11031398</v>
      </c>
    </row>
    <row r="172" spans="1:26" x14ac:dyDescent="0.25">
      <c r="A172" t="s">
        <v>447</v>
      </c>
      <c r="B172" t="s">
        <v>433</v>
      </c>
      <c r="C172" t="s">
        <v>448</v>
      </c>
      <c r="D172">
        <v>1548980460</v>
      </c>
      <c r="E172">
        <v>-49252353</v>
      </c>
      <c r="F172">
        <v>1499728107</v>
      </c>
      <c r="G172">
        <v>22159.26</v>
      </c>
      <c r="H172">
        <v>12.143000000000001</v>
      </c>
      <c r="I172">
        <v>0</v>
      </c>
      <c r="J172">
        <v>12.143000000000001</v>
      </c>
      <c r="K172">
        <v>0</v>
      </c>
      <c r="L172">
        <v>0</v>
      </c>
      <c r="M172">
        <v>0</v>
      </c>
      <c r="N172">
        <v>0</v>
      </c>
      <c r="O172">
        <v>1.7829999999999999</v>
      </c>
      <c r="P172">
        <v>1.2999999999999999E-2</v>
      </c>
      <c r="Q172">
        <v>13.939</v>
      </c>
      <c r="R172">
        <v>4.3970000000000002</v>
      </c>
      <c r="S172">
        <v>0</v>
      </c>
      <c r="T172">
        <v>0</v>
      </c>
      <c r="U172">
        <v>0</v>
      </c>
      <c r="V172">
        <v>0</v>
      </c>
      <c r="W172">
        <v>13.939</v>
      </c>
      <c r="X172">
        <v>16.055</v>
      </c>
      <c r="Y172">
        <v>24255342.969999999</v>
      </c>
      <c r="Z172">
        <v>5734868</v>
      </c>
    </row>
    <row r="173" spans="1:26" x14ac:dyDescent="0.25">
      <c r="A173" t="s">
        <v>449</v>
      </c>
      <c r="B173" t="s">
        <v>433</v>
      </c>
      <c r="C173" t="s">
        <v>450</v>
      </c>
      <c r="D173">
        <v>488213650</v>
      </c>
      <c r="E173">
        <v>0</v>
      </c>
      <c r="F173">
        <v>488213650</v>
      </c>
      <c r="G173">
        <v>2656.78</v>
      </c>
      <c r="H173">
        <v>27</v>
      </c>
      <c r="I173">
        <v>8.1199999999999992</v>
      </c>
      <c r="J173">
        <v>18.88</v>
      </c>
      <c r="K173">
        <v>0</v>
      </c>
      <c r="L173">
        <v>0</v>
      </c>
      <c r="M173">
        <v>0</v>
      </c>
      <c r="N173">
        <v>0</v>
      </c>
      <c r="O173">
        <v>1.8440000000000001</v>
      </c>
      <c r="P173">
        <v>5.0000000000000001E-3</v>
      </c>
      <c r="Q173">
        <v>20.728999999999999</v>
      </c>
      <c r="R173">
        <v>2.109</v>
      </c>
      <c r="S173">
        <v>0</v>
      </c>
      <c r="T173">
        <v>0</v>
      </c>
      <c r="U173">
        <v>0</v>
      </c>
      <c r="V173">
        <v>0</v>
      </c>
      <c r="W173">
        <v>20.728999999999999</v>
      </c>
      <c r="X173">
        <v>20.353000000000002</v>
      </c>
      <c r="Y173">
        <v>10232293.92</v>
      </c>
      <c r="Z173">
        <v>724193</v>
      </c>
    </row>
    <row r="174" spans="1:26" x14ac:dyDescent="0.25">
      <c r="A174" t="s">
        <v>451</v>
      </c>
      <c r="B174" t="s">
        <v>433</v>
      </c>
      <c r="C174" t="s">
        <v>452</v>
      </c>
      <c r="D174">
        <v>352130200</v>
      </c>
      <c r="E174">
        <v>0</v>
      </c>
      <c r="F174">
        <v>352130200</v>
      </c>
      <c r="G174">
        <v>62.4</v>
      </c>
      <c r="H174">
        <v>12.375999999999999</v>
      </c>
      <c r="I174">
        <v>0</v>
      </c>
      <c r="J174">
        <v>12.375999999999999</v>
      </c>
      <c r="K174">
        <v>0.40799999999999997</v>
      </c>
      <c r="L174">
        <v>3.504</v>
      </c>
      <c r="M174">
        <v>0</v>
      </c>
      <c r="N174">
        <v>0</v>
      </c>
      <c r="O174">
        <v>2.2719999999999998</v>
      </c>
      <c r="P174">
        <v>0</v>
      </c>
      <c r="Q174">
        <v>10.736000000000001</v>
      </c>
      <c r="R174">
        <v>1.07</v>
      </c>
      <c r="S174">
        <v>0</v>
      </c>
      <c r="T174">
        <v>0</v>
      </c>
      <c r="U174">
        <v>0</v>
      </c>
      <c r="V174">
        <v>0</v>
      </c>
      <c r="W174">
        <v>10.736000000000001</v>
      </c>
      <c r="X174">
        <v>8.4640000000000004</v>
      </c>
      <c r="Y174">
        <v>2990961.91</v>
      </c>
      <c r="Z174">
        <v>0</v>
      </c>
    </row>
    <row r="175" spans="1:26" x14ac:dyDescent="0.25">
      <c r="A175" t="s">
        <v>453</v>
      </c>
      <c r="B175" t="s">
        <v>433</v>
      </c>
      <c r="C175" t="s">
        <v>454</v>
      </c>
      <c r="D175">
        <v>520286730</v>
      </c>
      <c r="E175">
        <v>0</v>
      </c>
      <c r="F175">
        <v>520286730</v>
      </c>
      <c r="G175">
        <v>40.64</v>
      </c>
      <c r="H175">
        <v>5.0679999999999996</v>
      </c>
      <c r="I175">
        <v>0</v>
      </c>
      <c r="J175">
        <v>5.0679999999999996</v>
      </c>
      <c r="K175">
        <v>0</v>
      </c>
      <c r="L175">
        <v>0</v>
      </c>
      <c r="M175">
        <v>0</v>
      </c>
      <c r="N175">
        <v>0</v>
      </c>
      <c r="O175">
        <v>0.14399999999999999</v>
      </c>
      <c r="P175">
        <v>0</v>
      </c>
      <c r="Q175">
        <v>5.2119999999999997</v>
      </c>
      <c r="R175">
        <v>0.48799999999999999</v>
      </c>
      <c r="S175">
        <v>0</v>
      </c>
      <c r="T175">
        <v>0</v>
      </c>
      <c r="U175">
        <v>0</v>
      </c>
      <c r="V175">
        <v>0</v>
      </c>
      <c r="W175">
        <v>5.2119999999999997</v>
      </c>
      <c r="X175">
        <v>5.4470000000000001</v>
      </c>
      <c r="Y175">
        <v>3156962.51</v>
      </c>
      <c r="Z175">
        <v>212796</v>
      </c>
    </row>
    <row r="176" spans="1:26" x14ac:dyDescent="0.25">
      <c r="A176" t="s">
        <v>455</v>
      </c>
      <c r="B176" t="s">
        <v>433</v>
      </c>
      <c r="C176" t="s">
        <v>456</v>
      </c>
      <c r="D176">
        <v>540039500</v>
      </c>
      <c r="E176">
        <v>0</v>
      </c>
      <c r="F176">
        <v>540039500</v>
      </c>
      <c r="G176">
        <v>90.99</v>
      </c>
      <c r="H176">
        <v>4.2930000000000001</v>
      </c>
      <c r="I176">
        <v>0</v>
      </c>
      <c r="J176">
        <v>4.2930000000000001</v>
      </c>
      <c r="K176">
        <v>0.13200000000000001</v>
      </c>
      <c r="L176">
        <v>1.8740000000000001</v>
      </c>
      <c r="M176">
        <v>0</v>
      </c>
      <c r="N176">
        <v>0</v>
      </c>
      <c r="O176">
        <v>0.75</v>
      </c>
      <c r="P176">
        <v>0</v>
      </c>
      <c r="Q176">
        <v>3.0370000000000004</v>
      </c>
      <c r="R176">
        <v>0</v>
      </c>
      <c r="S176">
        <v>0</v>
      </c>
      <c r="T176">
        <v>0</v>
      </c>
      <c r="U176">
        <v>0</v>
      </c>
      <c r="V176">
        <v>0</v>
      </c>
      <c r="W176">
        <v>3.0370000000000004</v>
      </c>
      <c r="X176">
        <v>2.2869999999999999</v>
      </c>
      <c r="Y176">
        <v>1352119.29</v>
      </c>
      <c r="Z176">
        <v>0</v>
      </c>
    </row>
    <row r="177" spans="1:26" x14ac:dyDescent="0.25">
      <c r="A177" t="s">
        <v>457</v>
      </c>
      <c r="B177" t="s">
        <v>458</v>
      </c>
      <c r="C177" t="s">
        <v>459</v>
      </c>
      <c r="D177">
        <v>144487490</v>
      </c>
      <c r="E177">
        <v>0</v>
      </c>
      <c r="F177">
        <v>144487490</v>
      </c>
      <c r="G177">
        <v>3459.25</v>
      </c>
      <c r="H177">
        <v>27</v>
      </c>
      <c r="I177">
        <v>6.6550000000000002</v>
      </c>
      <c r="J177">
        <v>20.344999999999999</v>
      </c>
      <c r="K177">
        <v>0</v>
      </c>
      <c r="L177">
        <v>0</v>
      </c>
      <c r="M177">
        <v>0</v>
      </c>
      <c r="N177">
        <v>0</v>
      </c>
      <c r="O177">
        <v>8.2639999999999993</v>
      </c>
      <c r="P177">
        <v>2.3900000000000001E-2</v>
      </c>
      <c r="Q177">
        <v>28.632899999999999</v>
      </c>
      <c r="R177">
        <v>9.6829999999999998</v>
      </c>
      <c r="S177">
        <v>0</v>
      </c>
      <c r="T177">
        <v>0</v>
      </c>
      <c r="U177">
        <v>0</v>
      </c>
      <c r="V177">
        <v>0</v>
      </c>
      <c r="W177">
        <v>28.632899999999999</v>
      </c>
      <c r="X177">
        <v>38.314999999999998</v>
      </c>
      <c r="Y177">
        <v>9507575.9399999995</v>
      </c>
      <c r="Z177">
        <v>6338859</v>
      </c>
    </row>
    <row r="178" spans="1:26" x14ac:dyDescent="0.25">
      <c r="A178" t="s">
        <v>460</v>
      </c>
      <c r="B178" t="s">
        <v>458</v>
      </c>
      <c r="C178" t="s">
        <v>461</v>
      </c>
      <c r="D178">
        <v>123407780</v>
      </c>
      <c r="E178">
        <v>0</v>
      </c>
      <c r="F178">
        <v>123407780</v>
      </c>
      <c r="G178">
        <v>2805.35</v>
      </c>
      <c r="H178">
        <v>27</v>
      </c>
      <c r="I178">
        <v>9.968</v>
      </c>
      <c r="J178">
        <v>17.032</v>
      </c>
      <c r="K178">
        <v>0</v>
      </c>
      <c r="L178">
        <v>0</v>
      </c>
      <c r="M178">
        <v>0</v>
      </c>
      <c r="N178">
        <v>0</v>
      </c>
      <c r="O178">
        <v>11.92</v>
      </c>
      <c r="P178">
        <v>2.273E-2</v>
      </c>
      <c r="Q178">
        <v>28.974729999999997</v>
      </c>
      <c r="R178">
        <v>14.336</v>
      </c>
      <c r="S178">
        <v>0</v>
      </c>
      <c r="T178">
        <v>0</v>
      </c>
      <c r="U178">
        <v>0</v>
      </c>
      <c r="V178">
        <v>0</v>
      </c>
      <c r="W178">
        <v>28.974729999999997</v>
      </c>
      <c r="X178">
        <v>61.694000000000003</v>
      </c>
      <c r="Y178">
        <v>7753079.2300000004</v>
      </c>
      <c r="Z178">
        <v>5510505</v>
      </c>
    </row>
    <row r="179" spans="1:26" x14ac:dyDescent="0.25">
      <c r="A179" t="s">
        <v>462</v>
      </c>
      <c r="B179" t="s">
        <v>458</v>
      </c>
      <c r="C179" t="s">
        <v>463</v>
      </c>
      <c r="D179">
        <v>19793741</v>
      </c>
      <c r="E179">
        <v>0</v>
      </c>
      <c r="F179">
        <v>19793741</v>
      </c>
      <c r="G179">
        <v>293.64</v>
      </c>
      <c r="H179">
        <v>27</v>
      </c>
      <c r="I179">
        <v>3.5019999999999998</v>
      </c>
      <c r="J179">
        <v>23.498000000000001</v>
      </c>
      <c r="K179">
        <v>0</v>
      </c>
      <c r="L179">
        <v>0</v>
      </c>
      <c r="M179">
        <v>0</v>
      </c>
      <c r="N179">
        <v>0</v>
      </c>
      <c r="O179">
        <v>0</v>
      </c>
      <c r="P179">
        <v>0</v>
      </c>
      <c r="Q179">
        <v>23.498000000000001</v>
      </c>
      <c r="R179">
        <v>13.5</v>
      </c>
      <c r="S179">
        <v>0</v>
      </c>
      <c r="T179">
        <v>0</v>
      </c>
      <c r="U179">
        <v>0</v>
      </c>
      <c r="V179">
        <v>0</v>
      </c>
      <c r="W179">
        <v>23.498000000000001</v>
      </c>
      <c r="X179">
        <v>152.399</v>
      </c>
      <c r="Y179">
        <v>3096878.8</v>
      </c>
      <c r="Z179">
        <v>2581082</v>
      </c>
    </row>
    <row r="180" spans="1:26" x14ac:dyDescent="0.25">
      <c r="A180" t="s">
        <v>464</v>
      </c>
      <c r="B180" t="s">
        <v>458</v>
      </c>
      <c r="C180" t="s">
        <v>465</v>
      </c>
      <c r="D180">
        <v>16452472</v>
      </c>
      <c r="E180">
        <v>0</v>
      </c>
      <c r="F180">
        <v>16452472</v>
      </c>
      <c r="G180">
        <v>12.36</v>
      </c>
      <c r="H180">
        <v>27</v>
      </c>
      <c r="I180">
        <v>5.3250000000000002</v>
      </c>
      <c r="J180">
        <v>21.675000000000001</v>
      </c>
      <c r="K180">
        <v>0</v>
      </c>
      <c r="L180">
        <v>0</v>
      </c>
      <c r="M180">
        <v>0</v>
      </c>
      <c r="N180">
        <v>0</v>
      </c>
      <c r="O180">
        <v>19.399999999999999</v>
      </c>
      <c r="P180">
        <v>0</v>
      </c>
      <c r="Q180">
        <v>41.075000000000003</v>
      </c>
      <c r="R180">
        <v>0</v>
      </c>
      <c r="S180">
        <v>0</v>
      </c>
      <c r="T180">
        <v>0</v>
      </c>
      <c r="U180">
        <v>0</v>
      </c>
      <c r="V180">
        <v>0</v>
      </c>
      <c r="W180">
        <v>41.075000000000003</v>
      </c>
      <c r="X180">
        <v>72.679000000000002</v>
      </c>
      <c r="Y180">
        <v>1236153</v>
      </c>
      <c r="Z180">
        <v>356607</v>
      </c>
    </row>
    <row r="181" spans="1:26" x14ac:dyDescent="0.25">
      <c r="H181">
        <v>4141.9229999999989</v>
      </c>
      <c r="I181">
        <v>459.55899999999986</v>
      </c>
      <c r="J181">
        <v>3709.3659999999982</v>
      </c>
      <c r="K181">
        <v>5.9739999999999993</v>
      </c>
      <c r="L181">
        <v>6.9939999999999998</v>
      </c>
      <c r="M181">
        <v>39.481000000000002</v>
      </c>
      <c r="N181">
        <v>5.1999999999999998E-2</v>
      </c>
      <c r="O181">
        <v>837.28300000000002</v>
      </c>
      <c r="P181">
        <v>21.28163</v>
      </c>
      <c r="Q181">
        <v>4594.4956300000013</v>
      </c>
      <c r="R181">
        <v>1191.4479999999996</v>
      </c>
      <c r="S181">
        <v>6.9149999999999991</v>
      </c>
      <c r="T181">
        <v>10.345000000000001</v>
      </c>
      <c r="U181">
        <v>11.417999999999999</v>
      </c>
      <c r="V181">
        <v>13.138999999999999</v>
      </c>
      <c r="W181">
        <v>4636.3126300000004</v>
      </c>
    </row>
    <row r="182" spans="1:26" x14ac:dyDescent="0.25">
      <c r="D182">
        <v>150142692975</v>
      </c>
      <c r="E182">
        <v>-4650642540</v>
      </c>
      <c r="F182">
        <v>145492050435</v>
      </c>
      <c r="G182">
        <v>66797835.130000032</v>
      </c>
    </row>
    <row r="183" spans="1:26" x14ac:dyDescent="0.25">
      <c r="H183" t="s">
        <v>615</v>
      </c>
      <c r="J183">
        <v>3709.366</v>
      </c>
      <c r="K183">
        <v>5.9740000000000002</v>
      </c>
      <c r="L183">
        <v>6.9939999999999998</v>
      </c>
      <c r="M183">
        <v>39.481000000000002</v>
      </c>
      <c r="N183">
        <v>5.1999999999999998E-2</v>
      </c>
      <c r="O183">
        <v>837.28300000000002</v>
      </c>
      <c r="P183">
        <v>21.282</v>
      </c>
      <c r="Q183">
        <v>4606.7179999999998</v>
      </c>
      <c r="R183">
        <v>1191.4480000000001</v>
      </c>
      <c r="S183">
        <v>6.915</v>
      </c>
      <c r="T183">
        <v>10.345000000000001</v>
      </c>
      <c r="U183">
        <v>11.417999999999999</v>
      </c>
      <c r="V183">
        <v>13.138999999999999</v>
      </c>
      <c r="W183">
        <v>4658.665</v>
      </c>
    </row>
    <row r="184" spans="1:26" x14ac:dyDescent="0.25">
      <c r="D184">
        <v>-298666651</v>
      </c>
      <c r="F184">
        <v>1333544</v>
      </c>
    </row>
    <row r="185" spans="1:26" x14ac:dyDescent="0.25">
      <c r="J185">
        <v>0</v>
      </c>
      <c r="K185">
        <v>0</v>
      </c>
      <c r="L185">
        <v>0</v>
      </c>
      <c r="M185">
        <v>0</v>
      </c>
      <c r="N185">
        <v>0</v>
      </c>
      <c r="O185">
        <v>0</v>
      </c>
      <c r="P185">
        <v>-3.700000000002035E-4</v>
      </c>
      <c r="Q185">
        <v>-12.222369999998591</v>
      </c>
      <c r="R185">
        <v>0</v>
      </c>
      <c r="S185">
        <v>0</v>
      </c>
      <c r="T185">
        <v>0</v>
      </c>
      <c r="U185">
        <v>0</v>
      </c>
      <c r="V185">
        <v>0</v>
      </c>
      <c r="W185">
        <v>-22.35236999999961</v>
      </c>
    </row>
  </sheetData>
  <sheetProtection algorithmName="SHA-512" hashValue="0a+be/JjJlXloe6PRC30Fpu6UTIak4d+pXdjC0O1E/iIY9vmFhVHDbw0Da2Wc4nLupBDxplVdhvGutQzkGhC3A==" saltValue="3IAVYO17539cimJPa942d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9A32C-6FAE-4A59-9F83-6A1C5B9385D3}">
  <dimension ref="A1:F183"/>
  <sheetViews>
    <sheetView workbookViewId="0">
      <selection activeCell="E16" sqref="E16"/>
    </sheetView>
  </sheetViews>
  <sheetFormatPr defaultRowHeight="12.5" x14ac:dyDescent="0.25"/>
  <cols>
    <col min="1" max="1" width="4.83203125" bestFit="1" customWidth="1"/>
    <col min="2" max="2" width="11.83203125" bestFit="1" customWidth="1"/>
    <col min="3" max="3" width="19.08203125" bestFit="1" customWidth="1"/>
    <col min="5" max="5" width="11.83203125" bestFit="1" customWidth="1"/>
    <col min="6" max="6" width="14" bestFit="1" customWidth="1"/>
  </cols>
  <sheetData>
    <row r="1" spans="1:6" x14ac:dyDescent="0.25">
      <c r="A1">
        <v>1</v>
      </c>
      <c r="B1">
        <v>2</v>
      </c>
      <c r="C1">
        <v>3</v>
      </c>
      <c r="E1" t="s">
        <v>67</v>
      </c>
      <c r="F1" t="s">
        <v>68</v>
      </c>
    </row>
    <row r="2" spans="1:6" x14ac:dyDescent="0.25">
      <c r="E2" t="s">
        <v>69</v>
      </c>
      <c r="F2" t="s">
        <v>70</v>
      </c>
    </row>
    <row r="3" spans="1:6" x14ac:dyDescent="0.25">
      <c r="E3" t="s">
        <v>71</v>
      </c>
      <c r="F3" t="s">
        <v>72</v>
      </c>
    </row>
    <row r="4" spans="1:6" x14ac:dyDescent="0.25">
      <c r="A4" t="s">
        <v>73</v>
      </c>
      <c r="B4" t="s">
        <v>74</v>
      </c>
      <c r="C4" t="s">
        <v>75</v>
      </c>
    </row>
    <row r="5" spans="1:6" x14ac:dyDescent="0.25">
      <c r="A5" t="s">
        <v>76</v>
      </c>
      <c r="B5" t="s">
        <v>77</v>
      </c>
      <c r="C5" t="s">
        <v>78</v>
      </c>
      <c r="E5">
        <v>214049.99</v>
      </c>
      <c r="F5">
        <v>0</v>
      </c>
    </row>
    <row r="6" spans="1:6" x14ac:dyDescent="0.25">
      <c r="A6" t="s">
        <v>79</v>
      </c>
      <c r="B6" t="s">
        <v>77</v>
      </c>
      <c r="C6" t="s">
        <v>80</v>
      </c>
      <c r="E6">
        <v>0</v>
      </c>
      <c r="F6">
        <v>0</v>
      </c>
    </row>
    <row r="7" spans="1:6" x14ac:dyDescent="0.25">
      <c r="A7" t="s">
        <v>81</v>
      </c>
      <c r="B7" t="s">
        <v>77</v>
      </c>
      <c r="C7" t="s">
        <v>82</v>
      </c>
      <c r="E7">
        <v>0</v>
      </c>
      <c r="F7">
        <v>0</v>
      </c>
    </row>
    <row r="8" spans="1:6" x14ac:dyDescent="0.25">
      <c r="A8" t="s">
        <v>83</v>
      </c>
      <c r="B8" t="s">
        <v>77</v>
      </c>
      <c r="C8" t="s">
        <v>84</v>
      </c>
      <c r="E8">
        <v>0</v>
      </c>
      <c r="F8">
        <v>0</v>
      </c>
    </row>
    <row r="9" spans="1:6" x14ac:dyDescent="0.25">
      <c r="A9" t="s">
        <v>85</v>
      </c>
      <c r="B9" t="s">
        <v>77</v>
      </c>
      <c r="C9" t="s">
        <v>86</v>
      </c>
      <c r="E9">
        <v>0</v>
      </c>
      <c r="F9">
        <v>0</v>
      </c>
    </row>
    <row r="10" spans="1:6" x14ac:dyDescent="0.25">
      <c r="A10" t="s">
        <v>87</v>
      </c>
      <c r="B10" t="s">
        <v>77</v>
      </c>
      <c r="C10" t="s">
        <v>88</v>
      </c>
      <c r="E10">
        <v>0</v>
      </c>
      <c r="F10">
        <v>0</v>
      </c>
    </row>
    <row r="11" spans="1:6" x14ac:dyDescent="0.25">
      <c r="A11" t="s">
        <v>89</v>
      </c>
      <c r="B11" t="s">
        <v>77</v>
      </c>
      <c r="C11" t="s">
        <v>90</v>
      </c>
      <c r="E11">
        <v>518609.48</v>
      </c>
      <c r="F11">
        <v>0</v>
      </c>
    </row>
    <row r="12" spans="1:6" x14ac:dyDescent="0.25">
      <c r="A12" t="s">
        <v>91</v>
      </c>
      <c r="B12" t="s">
        <v>92</v>
      </c>
      <c r="C12" t="s">
        <v>92</v>
      </c>
      <c r="E12">
        <v>0</v>
      </c>
      <c r="F12">
        <v>0</v>
      </c>
    </row>
    <row r="13" spans="1:6" x14ac:dyDescent="0.25">
      <c r="A13" t="s">
        <v>93</v>
      </c>
      <c r="B13" t="s">
        <v>92</v>
      </c>
      <c r="C13" t="s">
        <v>94</v>
      </c>
      <c r="E13">
        <v>0</v>
      </c>
      <c r="F13">
        <v>0</v>
      </c>
    </row>
    <row r="14" spans="1:6" x14ac:dyDescent="0.25">
      <c r="A14" t="s">
        <v>95</v>
      </c>
      <c r="B14" t="s">
        <v>96</v>
      </c>
      <c r="C14" t="s">
        <v>97</v>
      </c>
      <c r="E14">
        <v>0</v>
      </c>
      <c r="F14">
        <v>0</v>
      </c>
    </row>
    <row r="15" spans="1:6" x14ac:dyDescent="0.25">
      <c r="A15" t="s">
        <v>98</v>
      </c>
      <c r="B15" t="s">
        <v>96</v>
      </c>
      <c r="C15" t="s">
        <v>99</v>
      </c>
      <c r="E15">
        <v>0</v>
      </c>
      <c r="F15">
        <v>0</v>
      </c>
    </row>
    <row r="16" spans="1:6" x14ac:dyDescent="0.25">
      <c r="A16" t="s">
        <v>100</v>
      </c>
      <c r="B16" t="s">
        <v>96</v>
      </c>
      <c r="C16" t="s">
        <v>101</v>
      </c>
      <c r="E16">
        <v>6454001.4400000004</v>
      </c>
      <c r="F16">
        <v>387510</v>
      </c>
    </row>
    <row r="17" spans="1:6" x14ac:dyDescent="0.25">
      <c r="A17" t="s">
        <v>102</v>
      </c>
      <c r="B17" t="s">
        <v>96</v>
      </c>
      <c r="C17" t="s">
        <v>103</v>
      </c>
      <c r="E17">
        <v>2315346.59</v>
      </c>
      <c r="F17">
        <v>0</v>
      </c>
    </row>
    <row r="18" spans="1:6" x14ac:dyDescent="0.25">
      <c r="A18" t="s">
        <v>104</v>
      </c>
      <c r="B18" t="s">
        <v>96</v>
      </c>
      <c r="C18" t="s">
        <v>105</v>
      </c>
      <c r="E18">
        <v>6508.04</v>
      </c>
      <c r="F18">
        <v>0</v>
      </c>
    </row>
    <row r="19" spans="1:6" x14ac:dyDescent="0.25">
      <c r="A19" t="s">
        <v>106</v>
      </c>
      <c r="B19" t="s">
        <v>96</v>
      </c>
      <c r="C19" t="s">
        <v>107</v>
      </c>
      <c r="E19">
        <v>0</v>
      </c>
      <c r="F19">
        <v>0</v>
      </c>
    </row>
    <row r="20" spans="1:6" x14ac:dyDescent="0.25">
      <c r="A20" t="s">
        <v>108</v>
      </c>
      <c r="B20" t="s">
        <v>96</v>
      </c>
      <c r="C20" t="s">
        <v>109</v>
      </c>
      <c r="E20">
        <v>0</v>
      </c>
      <c r="F20">
        <v>0</v>
      </c>
    </row>
    <row r="21" spans="1:6" x14ac:dyDescent="0.25">
      <c r="A21" t="s">
        <v>110</v>
      </c>
      <c r="B21" t="s">
        <v>111</v>
      </c>
      <c r="C21" t="s">
        <v>111</v>
      </c>
      <c r="E21">
        <v>0</v>
      </c>
      <c r="F21">
        <v>0</v>
      </c>
    </row>
    <row r="22" spans="1:6" x14ac:dyDescent="0.25">
      <c r="A22" t="s">
        <v>112</v>
      </c>
      <c r="B22" t="s">
        <v>113</v>
      </c>
      <c r="C22" t="s">
        <v>114</v>
      </c>
      <c r="E22">
        <v>0</v>
      </c>
      <c r="F22">
        <v>0</v>
      </c>
    </row>
    <row r="23" spans="1:6" x14ac:dyDescent="0.25">
      <c r="A23" t="s">
        <v>115</v>
      </c>
      <c r="B23" t="s">
        <v>113</v>
      </c>
      <c r="C23" t="s">
        <v>116</v>
      </c>
      <c r="E23">
        <v>0</v>
      </c>
      <c r="F23">
        <v>0</v>
      </c>
    </row>
    <row r="24" spans="1:6" x14ac:dyDescent="0.25">
      <c r="A24" t="s">
        <v>117</v>
      </c>
      <c r="B24" t="s">
        <v>113</v>
      </c>
      <c r="C24" t="s">
        <v>118</v>
      </c>
      <c r="E24">
        <v>0</v>
      </c>
      <c r="F24">
        <v>0</v>
      </c>
    </row>
    <row r="25" spans="1:6" x14ac:dyDescent="0.25">
      <c r="A25" t="s">
        <v>119</v>
      </c>
      <c r="B25" t="s">
        <v>113</v>
      </c>
      <c r="C25" t="s">
        <v>120</v>
      </c>
      <c r="E25">
        <v>0</v>
      </c>
      <c r="F25">
        <v>0</v>
      </c>
    </row>
    <row r="26" spans="1:6" x14ac:dyDescent="0.25">
      <c r="A26" t="s">
        <v>121</v>
      </c>
      <c r="B26" t="s">
        <v>113</v>
      </c>
      <c r="C26" t="s">
        <v>122</v>
      </c>
      <c r="E26">
        <v>4645.62</v>
      </c>
      <c r="F26">
        <v>0</v>
      </c>
    </row>
    <row r="27" spans="1:6" x14ac:dyDescent="0.25">
      <c r="A27" t="s">
        <v>123</v>
      </c>
      <c r="B27" t="s">
        <v>124</v>
      </c>
      <c r="C27" t="s">
        <v>125</v>
      </c>
      <c r="E27">
        <v>0</v>
      </c>
      <c r="F27">
        <v>0</v>
      </c>
    </row>
    <row r="28" spans="1:6" x14ac:dyDescent="0.25">
      <c r="A28" t="s">
        <v>126</v>
      </c>
      <c r="B28" t="s">
        <v>124</v>
      </c>
      <c r="C28" t="s">
        <v>127</v>
      </c>
      <c r="E28">
        <v>125782.95</v>
      </c>
      <c r="F28">
        <v>0</v>
      </c>
    </row>
    <row r="29" spans="1:6" x14ac:dyDescent="0.25">
      <c r="A29" t="s">
        <v>128</v>
      </c>
      <c r="B29" t="s">
        <v>129</v>
      </c>
      <c r="C29" t="s">
        <v>130</v>
      </c>
      <c r="E29">
        <v>0</v>
      </c>
      <c r="F29">
        <v>0</v>
      </c>
    </row>
    <row r="30" spans="1:6" x14ac:dyDescent="0.25">
      <c r="A30" t="s">
        <v>131</v>
      </c>
      <c r="B30" t="s">
        <v>129</v>
      </c>
      <c r="C30" t="s">
        <v>129</v>
      </c>
      <c r="E30">
        <v>0</v>
      </c>
      <c r="F30">
        <v>0</v>
      </c>
    </row>
    <row r="31" spans="1:6" x14ac:dyDescent="0.25">
      <c r="A31" t="s">
        <v>132</v>
      </c>
      <c r="B31" t="s">
        <v>133</v>
      </c>
      <c r="C31" t="s">
        <v>134</v>
      </c>
      <c r="E31">
        <v>0</v>
      </c>
      <c r="F31">
        <v>0</v>
      </c>
    </row>
    <row r="32" spans="1:6" x14ac:dyDescent="0.25">
      <c r="A32" t="s">
        <v>135</v>
      </c>
      <c r="B32" t="s">
        <v>133</v>
      </c>
      <c r="C32" t="s">
        <v>136</v>
      </c>
      <c r="E32">
        <v>0</v>
      </c>
      <c r="F32">
        <v>0</v>
      </c>
    </row>
    <row r="33" spans="1:6" x14ac:dyDescent="0.25">
      <c r="A33" t="s">
        <v>137</v>
      </c>
      <c r="B33" t="s">
        <v>138</v>
      </c>
      <c r="C33" t="s">
        <v>139</v>
      </c>
      <c r="E33">
        <v>73409.77</v>
      </c>
      <c r="F33">
        <v>0</v>
      </c>
    </row>
    <row r="34" spans="1:6" x14ac:dyDescent="0.25">
      <c r="A34" t="s">
        <v>140</v>
      </c>
      <c r="B34" t="s">
        <v>138</v>
      </c>
      <c r="C34" t="s">
        <v>138</v>
      </c>
      <c r="E34">
        <v>0</v>
      </c>
      <c r="F34">
        <v>0</v>
      </c>
    </row>
    <row r="35" spans="1:6" x14ac:dyDescent="0.25">
      <c r="A35" t="s">
        <v>141</v>
      </c>
      <c r="B35" t="s">
        <v>142</v>
      </c>
      <c r="C35" t="s">
        <v>142</v>
      </c>
      <c r="E35">
        <v>0</v>
      </c>
      <c r="F35">
        <v>0</v>
      </c>
    </row>
    <row r="36" spans="1:6" x14ac:dyDescent="0.25">
      <c r="A36" t="s">
        <v>143</v>
      </c>
      <c r="B36" t="s">
        <v>144</v>
      </c>
      <c r="C36" t="s">
        <v>145</v>
      </c>
      <c r="E36">
        <v>189856.48</v>
      </c>
      <c r="F36">
        <v>0</v>
      </c>
    </row>
    <row r="37" spans="1:6" x14ac:dyDescent="0.25">
      <c r="A37" t="s">
        <v>146</v>
      </c>
      <c r="B37" t="s">
        <v>144</v>
      </c>
      <c r="C37" t="s">
        <v>147</v>
      </c>
      <c r="E37">
        <v>0</v>
      </c>
      <c r="F37">
        <v>0</v>
      </c>
    </row>
    <row r="38" spans="1:6" x14ac:dyDescent="0.25">
      <c r="A38" t="s">
        <v>148</v>
      </c>
      <c r="B38" t="s">
        <v>144</v>
      </c>
      <c r="C38" t="s">
        <v>149</v>
      </c>
      <c r="E38">
        <v>0</v>
      </c>
      <c r="F38">
        <v>0</v>
      </c>
    </row>
    <row r="39" spans="1:6" x14ac:dyDescent="0.25">
      <c r="A39" t="s">
        <v>150</v>
      </c>
      <c r="B39" t="s">
        <v>151</v>
      </c>
      <c r="C39" t="s">
        <v>152</v>
      </c>
      <c r="E39">
        <v>0</v>
      </c>
      <c r="F39">
        <v>0</v>
      </c>
    </row>
    <row r="40" spans="1:6" x14ac:dyDescent="0.25">
      <c r="A40" t="s">
        <v>153</v>
      </c>
      <c r="B40" t="s">
        <v>151</v>
      </c>
      <c r="C40" t="s">
        <v>154</v>
      </c>
      <c r="E40">
        <v>0</v>
      </c>
      <c r="F40">
        <v>0</v>
      </c>
    </row>
    <row r="41" spans="1:6" x14ac:dyDescent="0.25">
      <c r="A41" t="s">
        <v>155</v>
      </c>
      <c r="B41" t="s">
        <v>156</v>
      </c>
      <c r="C41" t="s">
        <v>156</v>
      </c>
      <c r="E41">
        <v>0</v>
      </c>
      <c r="F41">
        <v>0</v>
      </c>
    </row>
    <row r="42" spans="1:6" x14ac:dyDescent="0.25">
      <c r="A42" t="s">
        <v>157</v>
      </c>
      <c r="B42" t="s">
        <v>158</v>
      </c>
      <c r="C42" t="s">
        <v>159</v>
      </c>
      <c r="E42">
        <v>0</v>
      </c>
      <c r="F42">
        <v>0</v>
      </c>
    </row>
    <row r="43" spans="1:6" x14ac:dyDescent="0.25">
      <c r="A43" t="s">
        <v>160</v>
      </c>
      <c r="B43" t="s">
        <v>161</v>
      </c>
      <c r="C43" t="s">
        <v>161</v>
      </c>
      <c r="E43">
        <v>0</v>
      </c>
      <c r="F43">
        <v>0</v>
      </c>
    </row>
    <row r="44" spans="1:6" x14ac:dyDescent="0.25">
      <c r="A44" t="s">
        <v>162</v>
      </c>
      <c r="B44" t="s">
        <v>163</v>
      </c>
      <c r="C44" t="s">
        <v>163</v>
      </c>
      <c r="E44">
        <v>0</v>
      </c>
      <c r="F44">
        <v>0</v>
      </c>
    </row>
    <row r="45" spans="1:6" x14ac:dyDescent="0.25">
      <c r="A45" t="s">
        <v>164</v>
      </c>
      <c r="B45" t="s">
        <v>165</v>
      </c>
      <c r="C45" t="s">
        <v>165</v>
      </c>
      <c r="E45">
        <v>0</v>
      </c>
      <c r="F45">
        <v>0</v>
      </c>
    </row>
    <row r="46" spans="1:6" x14ac:dyDescent="0.25">
      <c r="A46" t="s">
        <v>166</v>
      </c>
      <c r="B46" t="s">
        <v>167</v>
      </c>
      <c r="C46" t="s">
        <v>167</v>
      </c>
      <c r="E46">
        <v>0</v>
      </c>
      <c r="F46">
        <v>0</v>
      </c>
    </row>
    <row r="47" spans="1:6" x14ac:dyDescent="0.25">
      <c r="A47" t="s">
        <v>168</v>
      </c>
      <c r="B47" t="s">
        <v>169</v>
      </c>
      <c r="C47" t="s">
        <v>169</v>
      </c>
      <c r="E47">
        <v>2116980.9</v>
      </c>
      <c r="F47">
        <v>0</v>
      </c>
    </row>
    <row r="48" spans="1:6" x14ac:dyDescent="0.25">
      <c r="A48" t="s">
        <v>170</v>
      </c>
      <c r="B48" t="s">
        <v>171</v>
      </c>
      <c r="C48" t="s">
        <v>172</v>
      </c>
      <c r="E48">
        <v>0</v>
      </c>
      <c r="F48">
        <v>0</v>
      </c>
    </row>
    <row r="49" spans="1:6" x14ac:dyDescent="0.25">
      <c r="A49" t="s">
        <v>173</v>
      </c>
      <c r="B49" t="s">
        <v>171</v>
      </c>
      <c r="C49" t="s">
        <v>174</v>
      </c>
      <c r="E49">
        <v>0</v>
      </c>
      <c r="F49">
        <v>0</v>
      </c>
    </row>
    <row r="50" spans="1:6" x14ac:dyDescent="0.25">
      <c r="A50" t="s">
        <v>175</v>
      </c>
      <c r="B50" t="s">
        <v>171</v>
      </c>
      <c r="C50" t="s">
        <v>176</v>
      </c>
      <c r="E50">
        <v>0</v>
      </c>
      <c r="F50">
        <v>0</v>
      </c>
    </row>
    <row r="51" spans="1:6" x14ac:dyDescent="0.25">
      <c r="A51" t="s">
        <v>177</v>
      </c>
      <c r="B51" t="s">
        <v>171</v>
      </c>
      <c r="C51" t="s">
        <v>171</v>
      </c>
      <c r="E51">
        <v>0</v>
      </c>
      <c r="F51">
        <v>0</v>
      </c>
    </row>
    <row r="52" spans="1:6" x14ac:dyDescent="0.25">
      <c r="A52" t="s">
        <v>178</v>
      </c>
      <c r="B52" t="s">
        <v>171</v>
      </c>
      <c r="C52" t="s">
        <v>179</v>
      </c>
      <c r="E52">
        <v>0</v>
      </c>
      <c r="F52">
        <v>0</v>
      </c>
    </row>
    <row r="53" spans="1:6" x14ac:dyDescent="0.25">
      <c r="A53" t="s">
        <v>180</v>
      </c>
      <c r="B53" t="s">
        <v>181</v>
      </c>
      <c r="C53" t="s">
        <v>182</v>
      </c>
      <c r="E53">
        <v>0</v>
      </c>
      <c r="F53">
        <v>0</v>
      </c>
    </row>
    <row r="54" spans="1:6" x14ac:dyDescent="0.25">
      <c r="A54" t="s">
        <v>183</v>
      </c>
      <c r="B54" t="s">
        <v>181</v>
      </c>
      <c r="C54" t="s">
        <v>184</v>
      </c>
      <c r="E54">
        <v>0</v>
      </c>
      <c r="F54">
        <v>0</v>
      </c>
    </row>
    <row r="55" spans="1:6" x14ac:dyDescent="0.25">
      <c r="A55" t="s">
        <v>185</v>
      </c>
      <c r="B55" t="s">
        <v>181</v>
      </c>
      <c r="C55" t="s">
        <v>186</v>
      </c>
      <c r="E55">
        <v>0</v>
      </c>
      <c r="F55">
        <v>0</v>
      </c>
    </row>
    <row r="56" spans="1:6" x14ac:dyDescent="0.25">
      <c r="A56" t="s">
        <v>187</v>
      </c>
      <c r="B56" t="s">
        <v>181</v>
      </c>
      <c r="C56" t="s">
        <v>188</v>
      </c>
      <c r="E56">
        <v>0</v>
      </c>
      <c r="F56">
        <v>0</v>
      </c>
    </row>
    <row r="57" spans="1:6" x14ac:dyDescent="0.25">
      <c r="A57" t="s">
        <v>189</v>
      </c>
      <c r="B57" t="s">
        <v>181</v>
      </c>
      <c r="C57" t="s">
        <v>190</v>
      </c>
      <c r="E57">
        <v>0</v>
      </c>
      <c r="F57">
        <v>0</v>
      </c>
    </row>
    <row r="58" spans="1:6" x14ac:dyDescent="0.25">
      <c r="A58" t="s">
        <v>191</v>
      </c>
      <c r="B58" t="s">
        <v>181</v>
      </c>
      <c r="C58" t="s">
        <v>192</v>
      </c>
      <c r="E58">
        <v>0</v>
      </c>
      <c r="F58">
        <v>0</v>
      </c>
    </row>
    <row r="59" spans="1:6" x14ac:dyDescent="0.25">
      <c r="A59" t="s">
        <v>193</v>
      </c>
      <c r="B59" t="s">
        <v>181</v>
      </c>
      <c r="C59" t="s">
        <v>194</v>
      </c>
      <c r="E59">
        <v>0</v>
      </c>
      <c r="F59">
        <v>0</v>
      </c>
    </row>
    <row r="60" spans="1:6" x14ac:dyDescent="0.25">
      <c r="A60" t="s">
        <v>195</v>
      </c>
      <c r="B60" t="s">
        <v>181</v>
      </c>
      <c r="C60" t="s">
        <v>196</v>
      </c>
      <c r="E60">
        <v>0</v>
      </c>
      <c r="F60">
        <v>0</v>
      </c>
    </row>
    <row r="61" spans="1:6" x14ac:dyDescent="0.25">
      <c r="A61" t="s">
        <v>197</v>
      </c>
      <c r="B61" t="s">
        <v>181</v>
      </c>
      <c r="C61" t="s">
        <v>198</v>
      </c>
      <c r="E61">
        <v>0</v>
      </c>
      <c r="F61">
        <v>0</v>
      </c>
    </row>
    <row r="62" spans="1:6" x14ac:dyDescent="0.25">
      <c r="A62" t="s">
        <v>199</v>
      </c>
      <c r="B62" t="s">
        <v>181</v>
      </c>
      <c r="C62" t="s">
        <v>200</v>
      </c>
      <c r="E62">
        <v>0</v>
      </c>
      <c r="F62">
        <v>0</v>
      </c>
    </row>
    <row r="63" spans="1:6" x14ac:dyDescent="0.25">
      <c r="A63" t="s">
        <v>201</v>
      </c>
      <c r="B63" t="s">
        <v>181</v>
      </c>
      <c r="C63" t="s">
        <v>202</v>
      </c>
      <c r="E63">
        <v>0</v>
      </c>
      <c r="F63">
        <v>0</v>
      </c>
    </row>
    <row r="64" spans="1:6" x14ac:dyDescent="0.25">
      <c r="A64" t="s">
        <v>203</v>
      </c>
      <c r="B64" t="s">
        <v>181</v>
      </c>
      <c r="C64" t="s">
        <v>204</v>
      </c>
      <c r="E64">
        <v>0</v>
      </c>
      <c r="F64">
        <v>0</v>
      </c>
    </row>
    <row r="65" spans="1:6" x14ac:dyDescent="0.25">
      <c r="A65" t="s">
        <v>205</v>
      </c>
      <c r="B65" t="s">
        <v>181</v>
      </c>
      <c r="C65" t="s">
        <v>206</v>
      </c>
      <c r="E65">
        <v>0</v>
      </c>
      <c r="F65">
        <v>0</v>
      </c>
    </row>
    <row r="66" spans="1:6" x14ac:dyDescent="0.25">
      <c r="A66" t="s">
        <v>207</v>
      </c>
      <c r="B66" t="s">
        <v>181</v>
      </c>
      <c r="C66" t="s">
        <v>208</v>
      </c>
      <c r="E66">
        <v>0</v>
      </c>
      <c r="F66">
        <v>0</v>
      </c>
    </row>
    <row r="67" spans="1:6" x14ac:dyDescent="0.25">
      <c r="A67" t="s">
        <v>209</v>
      </c>
      <c r="B67" t="s">
        <v>181</v>
      </c>
      <c r="C67" t="s">
        <v>210</v>
      </c>
      <c r="E67">
        <v>40575.480000000003</v>
      </c>
      <c r="F67">
        <v>0</v>
      </c>
    </row>
    <row r="68" spans="1:6" x14ac:dyDescent="0.25">
      <c r="A68" t="s">
        <v>211</v>
      </c>
      <c r="B68" t="s">
        <v>212</v>
      </c>
      <c r="C68" t="s">
        <v>213</v>
      </c>
      <c r="E68">
        <v>0</v>
      </c>
      <c r="F68">
        <v>0</v>
      </c>
    </row>
    <row r="69" spans="1:6" x14ac:dyDescent="0.25">
      <c r="A69" t="s">
        <v>214</v>
      </c>
      <c r="B69" t="s">
        <v>212</v>
      </c>
      <c r="C69" t="s">
        <v>215</v>
      </c>
      <c r="E69">
        <v>0</v>
      </c>
      <c r="F69">
        <v>0</v>
      </c>
    </row>
    <row r="70" spans="1:6" x14ac:dyDescent="0.25">
      <c r="A70" t="s">
        <v>216</v>
      </c>
      <c r="B70" t="s">
        <v>212</v>
      </c>
      <c r="C70" t="s">
        <v>217</v>
      </c>
      <c r="E70">
        <v>0</v>
      </c>
      <c r="F70">
        <v>0</v>
      </c>
    </row>
    <row r="71" spans="1:6" x14ac:dyDescent="0.25">
      <c r="A71" t="s">
        <v>218</v>
      </c>
      <c r="B71" t="s">
        <v>219</v>
      </c>
      <c r="C71" t="s">
        <v>220</v>
      </c>
      <c r="E71">
        <v>0</v>
      </c>
      <c r="F71">
        <v>0</v>
      </c>
    </row>
    <row r="72" spans="1:6" x14ac:dyDescent="0.25">
      <c r="A72" t="s">
        <v>221</v>
      </c>
      <c r="B72" t="s">
        <v>219</v>
      </c>
      <c r="C72" t="s">
        <v>222</v>
      </c>
      <c r="E72">
        <v>0</v>
      </c>
      <c r="F72">
        <v>0</v>
      </c>
    </row>
    <row r="73" spans="1:6" x14ac:dyDescent="0.25">
      <c r="A73" t="s">
        <v>223</v>
      </c>
      <c r="B73" t="s">
        <v>219</v>
      </c>
      <c r="C73" t="s">
        <v>224</v>
      </c>
      <c r="E73">
        <v>0</v>
      </c>
      <c r="F73">
        <v>0</v>
      </c>
    </row>
    <row r="74" spans="1:6" x14ac:dyDescent="0.25">
      <c r="A74" t="s">
        <v>225</v>
      </c>
      <c r="B74" t="s">
        <v>226</v>
      </c>
      <c r="C74" t="s">
        <v>226</v>
      </c>
      <c r="E74">
        <v>0</v>
      </c>
      <c r="F74">
        <v>0</v>
      </c>
    </row>
    <row r="75" spans="1:6" x14ac:dyDescent="0.25">
      <c r="A75" t="s">
        <v>227</v>
      </c>
      <c r="B75" t="s">
        <v>228</v>
      </c>
      <c r="C75" t="s">
        <v>229</v>
      </c>
      <c r="E75">
        <v>0</v>
      </c>
      <c r="F75">
        <v>0</v>
      </c>
    </row>
    <row r="76" spans="1:6" x14ac:dyDescent="0.25">
      <c r="A76" t="s">
        <v>230</v>
      </c>
      <c r="B76" t="s">
        <v>228</v>
      </c>
      <c r="C76" t="s">
        <v>231</v>
      </c>
      <c r="E76">
        <v>784125.51</v>
      </c>
      <c r="F76">
        <v>0</v>
      </c>
    </row>
    <row r="77" spans="1:6" x14ac:dyDescent="0.25">
      <c r="A77" t="s">
        <v>232</v>
      </c>
      <c r="B77" t="s">
        <v>233</v>
      </c>
      <c r="C77" t="s">
        <v>233</v>
      </c>
      <c r="E77">
        <v>0</v>
      </c>
      <c r="F77">
        <v>0</v>
      </c>
    </row>
    <row r="78" spans="1:6" x14ac:dyDescent="0.25">
      <c r="A78" t="s">
        <v>234</v>
      </c>
      <c r="B78" t="s">
        <v>235</v>
      </c>
      <c r="C78" t="s">
        <v>235</v>
      </c>
      <c r="E78">
        <v>0</v>
      </c>
      <c r="F78">
        <v>0</v>
      </c>
    </row>
    <row r="79" spans="1:6" x14ac:dyDescent="0.25">
      <c r="A79" t="s">
        <v>236</v>
      </c>
      <c r="B79" t="s">
        <v>237</v>
      </c>
      <c r="C79" t="s">
        <v>237</v>
      </c>
      <c r="E79">
        <v>0</v>
      </c>
      <c r="F79">
        <v>0</v>
      </c>
    </row>
    <row r="80" spans="1:6" x14ac:dyDescent="0.25">
      <c r="A80" t="s">
        <v>238</v>
      </c>
      <c r="B80" t="s">
        <v>237</v>
      </c>
      <c r="C80" t="s">
        <v>239</v>
      </c>
      <c r="E80">
        <v>0</v>
      </c>
      <c r="F80">
        <v>0</v>
      </c>
    </row>
    <row r="81" spans="1:6" x14ac:dyDescent="0.25">
      <c r="A81" t="s">
        <v>240</v>
      </c>
      <c r="B81" t="s">
        <v>241</v>
      </c>
      <c r="C81" t="s">
        <v>242</v>
      </c>
      <c r="E81">
        <v>0</v>
      </c>
      <c r="F81">
        <v>0</v>
      </c>
    </row>
    <row r="82" spans="1:6" x14ac:dyDescent="0.25">
      <c r="A82" t="s">
        <v>243</v>
      </c>
      <c r="B82" t="s">
        <v>244</v>
      </c>
      <c r="C82" t="s">
        <v>244</v>
      </c>
      <c r="E82">
        <v>0</v>
      </c>
      <c r="F82">
        <v>0</v>
      </c>
    </row>
    <row r="83" spans="1:6" x14ac:dyDescent="0.25">
      <c r="A83" t="s">
        <v>245</v>
      </c>
      <c r="B83" t="s">
        <v>174</v>
      </c>
      <c r="C83" t="s">
        <v>246</v>
      </c>
      <c r="E83">
        <v>0</v>
      </c>
      <c r="F83">
        <v>0</v>
      </c>
    </row>
    <row r="84" spans="1:6" x14ac:dyDescent="0.25">
      <c r="A84" t="s">
        <v>247</v>
      </c>
      <c r="B84" t="s">
        <v>174</v>
      </c>
      <c r="C84" t="s">
        <v>248</v>
      </c>
      <c r="E84">
        <v>64538.16</v>
      </c>
      <c r="F84">
        <v>0</v>
      </c>
    </row>
    <row r="85" spans="1:6" x14ac:dyDescent="0.25">
      <c r="A85" t="s">
        <v>249</v>
      </c>
      <c r="B85" t="s">
        <v>139</v>
      </c>
      <c r="C85" t="s">
        <v>250</v>
      </c>
      <c r="E85">
        <v>0</v>
      </c>
      <c r="F85">
        <v>0</v>
      </c>
    </row>
    <row r="86" spans="1:6" x14ac:dyDescent="0.25">
      <c r="A86" t="s">
        <v>251</v>
      </c>
      <c r="B86" t="s">
        <v>139</v>
      </c>
      <c r="C86" t="s">
        <v>252</v>
      </c>
      <c r="E86">
        <v>139360.24</v>
      </c>
      <c r="F86">
        <v>0</v>
      </c>
    </row>
    <row r="87" spans="1:6" x14ac:dyDescent="0.25">
      <c r="A87" t="s">
        <v>253</v>
      </c>
      <c r="B87" t="s">
        <v>139</v>
      </c>
      <c r="C87" t="s">
        <v>254</v>
      </c>
      <c r="E87">
        <v>0</v>
      </c>
      <c r="F87">
        <v>0</v>
      </c>
    </row>
    <row r="88" spans="1:6" x14ac:dyDescent="0.25">
      <c r="A88" t="s">
        <v>255</v>
      </c>
      <c r="B88" t="s">
        <v>139</v>
      </c>
      <c r="C88" t="s">
        <v>256</v>
      </c>
      <c r="E88">
        <v>0</v>
      </c>
      <c r="F88">
        <v>0</v>
      </c>
    </row>
    <row r="89" spans="1:6" x14ac:dyDescent="0.25">
      <c r="A89" t="s">
        <v>257</v>
      </c>
      <c r="B89" t="s">
        <v>139</v>
      </c>
      <c r="C89" t="s">
        <v>258</v>
      </c>
      <c r="E89">
        <v>0</v>
      </c>
      <c r="F89">
        <v>0</v>
      </c>
    </row>
    <row r="90" spans="1:6" x14ac:dyDescent="0.25">
      <c r="A90" t="s">
        <v>259</v>
      </c>
      <c r="B90" t="s">
        <v>260</v>
      </c>
      <c r="C90" t="s">
        <v>260</v>
      </c>
      <c r="E90">
        <v>0</v>
      </c>
      <c r="F90">
        <v>0</v>
      </c>
    </row>
    <row r="91" spans="1:6" x14ac:dyDescent="0.25">
      <c r="A91" t="s">
        <v>261</v>
      </c>
      <c r="B91" t="s">
        <v>262</v>
      </c>
      <c r="C91" t="s">
        <v>263</v>
      </c>
      <c r="E91">
        <v>2621262.39</v>
      </c>
      <c r="F91">
        <v>0</v>
      </c>
    </row>
    <row r="92" spans="1:6" x14ac:dyDescent="0.25">
      <c r="A92" t="s">
        <v>264</v>
      </c>
      <c r="B92" t="s">
        <v>262</v>
      </c>
      <c r="C92" t="s">
        <v>265</v>
      </c>
      <c r="E92">
        <v>34407.54</v>
      </c>
      <c r="F92">
        <v>0</v>
      </c>
    </row>
    <row r="93" spans="1:6" x14ac:dyDescent="0.25">
      <c r="A93" t="s">
        <v>266</v>
      </c>
      <c r="B93" t="s">
        <v>262</v>
      </c>
      <c r="C93" t="s">
        <v>267</v>
      </c>
      <c r="E93">
        <v>0</v>
      </c>
      <c r="F93">
        <v>0</v>
      </c>
    </row>
    <row r="94" spans="1:6" x14ac:dyDescent="0.25">
      <c r="A94" t="s">
        <v>268</v>
      </c>
      <c r="B94" t="s">
        <v>269</v>
      </c>
      <c r="C94" t="s">
        <v>270</v>
      </c>
      <c r="E94">
        <v>0</v>
      </c>
      <c r="F94">
        <v>0</v>
      </c>
    </row>
    <row r="95" spans="1:6" x14ac:dyDescent="0.25">
      <c r="A95" t="s">
        <v>271</v>
      </c>
      <c r="B95" t="s">
        <v>269</v>
      </c>
      <c r="C95" t="s">
        <v>272</v>
      </c>
      <c r="E95">
        <v>0</v>
      </c>
      <c r="F95">
        <v>0</v>
      </c>
    </row>
    <row r="96" spans="1:6" x14ac:dyDescent="0.25">
      <c r="A96" t="s">
        <v>273</v>
      </c>
      <c r="B96" t="s">
        <v>269</v>
      </c>
      <c r="C96" t="s">
        <v>274</v>
      </c>
      <c r="E96">
        <v>0</v>
      </c>
      <c r="F96">
        <v>0</v>
      </c>
    </row>
    <row r="97" spans="1:6" x14ac:dyDescent="0.25">
      <c r="A97" t="s">
        <v>275</v>
      </c>
      <c r="B97" t="s">
        <v>125</v>
      </c>
      <c r="C97" t="s">
        <v>276</v>
      </c>
      <c r="E97">
        <v>0</v>
      </c>
      <c r="F97">
        <v>0</v>
      </c>
    </row>
    <row r="98" spans="1:6" x14ac:dyDescent="0.25">
      <c r="A98" t="s">
        <v>277</v>
      </c>
      <c r="B98" t="s">
        <v>125</v>
      </c>
      <c r="C98" t="s">
        <v>278</v>
      </c>
      <c r="E98">
        <v>78694.86</v>
      </c>
      <c r="F98">
        <v>0</v>
      </c>
    </row>
    <row r="99" spans="1:6" x14ac:dyDescent="0.25">
      <c r="A99" t="s">
        <v>279</v>
      </c>
      <c r="B99" t="s">
        <v>125</v>
      </c>
      <c r="C99" t="s">
        <v>280</v>
      </c>
      <c r="E99">
        <v>0</v>
      </c>
      <c r="F99">
        <v>0</v>
      </c>
    </row>
    <row r="100" spans="1:6" x14ac:dyDescent="0.25">
      <c r="A100" t="s">
        <v>281</v>
      </c>
      <c r="B100" t="s">
        <v>125</v>
      </c>
      <c r="C100" t="s">
        <v>282</v>
      </c>
      <c r="E100">
        <v>29636.04</v>
      </c>
      <c r="F100">
        <v>0</v>
      </c>
    </row>
    <row r="101" spans="1:6" x14ac:dyDescent="0.25">
      <c r="A101" t="s">
        <v>283</v>
      </c>
      <c r="B101" t="s">
        <v>125</v>
      </c>
      <c r="C101" t="s">
        <v>284</v>
      </c>
      <c r="E101">
        <v>0</v>
      </c>
      <c r="F101">
        <v>0</v>
      </c>
    </row>
    <row r="102" spans="1:6" x14ac:dyDescent="0.25">
      <c r="A102" t="s">
        <v>285</v>
      </c>
      <c r="B102" t="s">
        <v>125</v>
      </c>
      <c r="C102" t="s">
        <v>286</v>
      </c>
      <c r="E102">
        <v>28341.66</v>
      </c>
      <c r="F102">
        <v>0</v>
      </c>
    </row>
    <row r="103" spans="1:6" x14ac:dyDescent="0.25">
      <c r="A103" t="s">
        <v>287</v>
      </c>
      <c r="B103" t="s">
        <v>288</v>
      </c>
      <c r="C103" t="s">
        <v>289</v>
      </c>
      <c r="E103">
        <v>0</v>
      </c>
      <c r="F103">
        <v>0</v>
      </c>
    </row>
    <row r="104" spans="1:6" x14ac:dyDescent="0.25">
      <c r="A104" t="s">
        <v>290</v>
      </c>
      <c r="B104" t="s">
        <v>288</v>
      </c>
      <c r="C104" t="s">
        <v>291</v>
      </c>
      <c r="E104">
        <v>0</v>
      </c>
      <c r="F104">
        <v>0</v>
      </c>
    </row>
    <row r="105" spans="1:6" x14ac:dyDescent="0.25">
      <c r="A105" t="s">
        <v>292</v>
      </c>
      <c r="B105" t="s">
        <v>288</v>
      </c>
      <c r="C105" t="s">
        <v>293</v>
      </c>
      <c r="E105">
        <v>0</v>
      </c>
      <c r="F105">
        <v>0</v>
      </c>
    </row>
    <row r="106" spans="1:6" x14ac:dyDescent="0.25">
      <c r="A106" t="s">
        <v>294</v>
      </c>
      <c r="B106" t="s">
        <v>295</v>
      </c>
      <c r="C106" t="s">
        <v>296</v>
      </c>
      <c r="E106">
        <v>0</v>
      </c>
      <c r="F106">
        <v>0</v>
      </c>
    </row>
    <row r="107" spans="1:6" x14ac:dyDescent="0.25">
      <c r="A107" t="s">
        <v>297</v>
      </c>
      <c r="B107" t="s">
        <v>295</v>
      </c>
      <c r="C107" t="s">
        <v>298</v>
      </c>
      <c r="E107">
        <v>18622.72</v>
      </c>
      <c r="F107">
        <v>0</v>
      </c>
    </row>
    <row r="108" spans="1:6" x14ac:dyDescent="0.25">
      <c r="A108" t="s">
        <v>299</v>
      </c>
      <c r="B108" t="s">
        <v>295</v>
      </c>
      <c r="C108" t="s">
        <v>300</v>
      </c>
      <c r="E108">
        <v>0</v>
      </c>
      <c r="F108">
        <v>0</v>
      </c>
    </row>
    <row r="109" spans="1:6" x14ac:dyDescent="0.25">
      <c r="A109" t="s">
        <v>301</v>
      </c>
      <c r="B109" t="s">
        <v>295</v>
      </c>
      <c r="C109" t="s">
        <v>302</v>
      </c>
      <c r="E109">
        <v>36496.36</v>
      </c>
      <c r="F109">
        <v>0</v>
      </c>
    </row>
    <row r="110" spans="1:6" x14ac:dyDescent="0.25">
      <c r="A110" t="s">
        <v>303</v>
      </c>
      <c r="B110" t="s">
        <v>304</v>
      </c>
      <c r="C110" t="s">
        <v>305</v>
      </c>
      <c r="E110">
        <v>5221.7700000000004</v>
      </c>
      <c r="F110">
        <v>0</v>
      </c>
    </row>
    <row r="111" spans="1:6" x14ac:dyDescent="0.25">
      <c r="A111" t="s">
        <v>306</v>
      </c>
      <c r="B111" t="s">
        <v>304</v>
      </c>
      <c r="C111" t="s">
        <v>307</v>
      </c>
      <c r="E111">
        <v>0</v>
      </c>
      <c r="F111">
        <v>0</v>
      </c>
    </row>
    <row r="112" spans="1:6" x14ac:dyDescent="0.25">
      <c r="A112" t="s">
        <v>308</v>
      </c>
      <c r="B112" t="s">
        <v>304</v>
      </c>
      <c r="C112" t="s">
        <v>309</v>
      </c>
      <c r="E112">
        <v>0</v>
      </c>
      <c r="F112">
        <v>0</v>
      </c>
    </row>
    <row r="113" spans="1:6" x14ac:dyDescent="0.25">
      <c r="A113" t="s">
        <v>310</v>
      </c>
      <c r="B113" t="s">
        <v>311</v>
      </c>
      <c r="C113" t="s">
        <v>312</v>
      </c>
      <c r="E113">
        <v>0</v>
      </c>
      <c r="F113">
        <v>0</v>
      </c>
    </row>
    <row r="114" spans="1:6" x14ac:dyDescent="0.25">
      <c r="A114" t="s">
        <v>313</v>
      </c>
      <c r="B114" t="s">
        <v>314</v>
      </c>
      <c r="C114" t="s">
        <v>314</v>
      </c>
      <c r="E114">
        <v>277847.37</v>
      </c>
      <c r="F114">
        <v>0</v>
      </c>
    </row>
    <row r="115" spans="1:6" x14ac:dyDescent="0.25">
      <c r="A115" t="s">
        <v>315</v>
      </c>
      <c r="B115" t="s">
        <v>316</v>
      </c>
      <c r="C115" t="s">
        <v>316</v>
      </c>
      <c r="E115">
        <v>0</v>
      </c>
      <c r="F115">
        <v>0</v>
      </c>
    </row>
    <row r="116" spans="1:6" x14ac:dyDescent="0.25">
      <c r="A116" t="s">
        <v>317</v>
      </c>
      <c r="B116" t="s">
        <v>316</v>
      </c>
      <c r="C116" t="s">
        <v>165</v>
      </c>
      <c r="E116">
        <v>0</v>
      </c>
      <c r="F116">
        <v>0</v>
      </c>
    </row>
    <row r="117" spans="1:6" x14ac:dyDescent="0.25">
      <c r="A117" t="s">
        <v>318</v>
      </c>
      <c r="B117" t="s">
        <v>316</v>
      </c>
      <c r="C117" t="s">
        <v>319</v>
      </c>
      <c r="E117">
        <v>0</v>
      </c>
      <c r="F117">
        <v>0</v>
      </c>
    </row>
    <row r="118" spans="1:6" x14ac:dyDescent="0.25">
      <c r="A118" t="s">
        <v>320</v>
      </c>
      <c r="B118" t="s">
        <v>321</v>
      </c>
      <c r="C118" t="s">
        <v>321</v>
      </c>
      <c r="E118">
        <v>0</v>
      </c>
      <c r="F118">
        <v>0</v>
      </c>
    </row>
    <row r="119" spans="1:6" x14ac:dyDescent="0.25">
      <c r="A119" t="s">
        <v>322</v>
      </c>
      <c r="B119" t="s">
        <v>321</v>
      </c>
      <c r="C119" t="s">
        <v>323</v>
      </c>
      <c r="E119">
        <v>0</v>
      </c>
      <c r="F119">
        <v>0</v>
      </c>
    </row>
    <row r="120" spans="1:6" x14ac:dyDescent="0.25">
      <c r="A120" t="s">
        <v>324</v>
      </c>
      <c r="B120" t="s">
        <v>325</v>
      </c>
      <c r="C120" t="s">
        <v>326</v>
      </c>
      <c r="E120">
        <v>0</v>
      </c>
      <c r="F120">
        <v>0</v>
      </c>
    </row>
    <row r="121" spans="1:6" x14ac:dyDescent="0.25">
      <c r="A121" t="s">
        <v>327</v>
      </c>
      <c r="B121" t="s">
        <v>325</v>
      </c>
      <c r="C121" t="s">
        <v>328</v>
      </c>
      <c r="E121">
        <v>0</v>
      </c>
      <c r="F121">
        <v>0</v>
      </c>
    </row>
    <row r="122" spans="1:6" x14ac:dyDescent="0.25">
      <c r="A122" t="s">
        <v>329</v>
      </c>
      <c r="B122" t="s">
        <v>325</v>
      </c>
      <c r="C122" t="s">
        <v>330</v>
      </c>
      <c r="E122">
        <v>9617.9</v>
      </c>
      <c r="F122">
        <v>0</v>
      </c>
    </row>
    <row r="123" spans="1:6" x14ac:dyDescent="0.25">
      <c r="A123" t="s">
        <v>331</v>
      </c>
      <c r="B123" t="s">
        <v>325</v>
      </c>
      <c r="C123" t="s">
        <v>332</v>
      </c>
      <c r="E123">
        <v>0</v>
      </c>
      <c r="F123">
        <v>0</v>
      </c>
    </row>
    <row r="124" spans="1:6" x14ac:dyDescent="0.25">
      <c r="A124" t="s">
        <v>333</v>
      </c>
      <c r="B124" t="s">
        <v>334</v>
      </c>
      <c r="C124" t="s">
        <v>335</v>
      </c>
      <c r="E124">
        <v>0</v>
      </c>
      <c r="F124">
        <v>0</v>
      </c>
    </row>
    <row r="125" spans="1:6" x14ac:dyDescent="0.25">
      <c r="A125" t="s">
        <v>336</v>
      </c>
      <c r="B125" t="s">
        <v>334</v>
      </c>
      <c r="C125" t="s">
        <v>337</v>
      </c>
      <c r="E125">
        <v>0</v>
      </c>
      <c r="F125">
        <v>0</v>
      </c>
    </row>
    <row r="126" spans="1:6" x14ac:dyDescent="0.25">
      <c r="A126" t="s">
        <v>338</v>
      </c>
      <c r="B126" t="s">
        <v>334</v>
      </c>
      <c r="C126" t="s">
        <v>339</v>
      </c>
      <c r="E126">
        <v>0</v>
      </c>
      <c r="F126">
        <v>0</v>
      </c>
    </row>
    <row r="127" spans="1:6" x14ac:dyDescent="0.25">
      <c r="A127" t="s">
        <v>340</v>
      </c>
      <c r="B127" t="s">
        <v>334</v>
      </c>
      <c r="C127" t="s">
        <v>341</v>
      </c>
      <c r="E127">
        <v>0</v>
      </c>
      <c r="F127">
        <v>0</v>
      </c>
    </row>
    <row r="128" spans="1:6" x14ac:dyDescent="0.25">
      <c r="A128" t="s">
        <v>342</v>
      </c>
      <c r="B128" t="s">
        <v>334</v>
      </c>
      <c r="C128" t="s">
        <v>343</v>
      </c>
      <c r="E128">
        <v>0</v>
      </c>
      <c r="F128">
        <v>0</v>
      </c>
    </row>
    <row r="129" spans="1:6" x14ac:dyDescent="0.25">
      <c r="A129" t="s">
        <v>344</v>
      </c>
      <c r="B129" t="s">
        <v>334</v>
      </c>
      <c r="C129" t="s">
        <v>345</v>
      </c>
      <c r="E129">
        <v>0</v>
      </c>
      <c r="F129">
        <v>0</v>
      </c>
    </row>
    <row r="130" spans="1:6" x14ac:dyDescent="0.25">
      <c r="A130" t="s">
        <v>346</v>
      </c>
      <c r="B130" t="s">
        <v>347</v>
      </c>
      <c r="C130" t="s">
        <v>347</v>
      </c>
      <c r="E130">
        <v>0</v>
      </c>
      <c r="F130">
        <v>0</v>
      </c>
    </row>
    <row r="131" spans="1:6" x14ac:dyDescent="0.25">
      <c r="A131" t="s">
        <v>348</v>
      </c>
      <c r="B131" t="s">
        <v>347</v>
      </c>
      <c r="C131" t="s">
        <v>349</v>
      </c>
      <c r="E131">
        <v>0</v>
      </c>
      <c r="F131">
        <v>0</v>
      </c>
    </row>
    <row r="132" spans="1:6" x14ac:dyDescent="0.25">
      <c r="A132" t="s">
        <v>350</v>
      </c>
      <c r="B132" t="s">
        <v>351</v>
      </c>
      <c r="C132" t="s">
        <v>352</v>
      </c>
      <c r="E132">
        <v>0</v>
      </c>
      <c r="F132">
        <v>0</v>
      </c>
    </row>
    <row r="133" spans="1:6" x14ac:dyDescent="0.25">
      <c r="A133" t="s">
        <v>353</v>
      </c>
      <c r="B133" t="s">
        <v>351</v>
      </c>
      <c r="C133" t="s">
        <v>351</v>
      </c>
      <c r="E133">
        <v>550952.78</v>
      </c>
      <c r="F133">
        <v>0</v>
      </c>
    </row>
    <row r="134" spans="1:6" x14ac:dyDescent="0.25">
      <c r="A134" t="s">
        <v>354</v>
      </c>
      <c r="B134" t="s">
        <v>355</v>
      </c>
      <c r="C134" t="s">
        <v>356</v>
      </c>
      <c r="E134">
        <v>0</v>
      </c>
      <c r="F134">
        <v>0</v>
      </c>
    </row>
    <row r="135" spans="1:6" x14ac:dyDescent="0.25">
      <c r="A135" t="s">
        <v>357</v>
      </c>
      <c r="B135" t="s">
        <v>355</v>
      </c>
      <c r="C135" t="s">
        <v>358</v>
      </c>
      <c r="E135">
        <v>0</v>
      </c>
      <c r="F135">
        <v>0</v>
      </c>
    </row>
    <row r="136" spans="1:6" x14ac:dyDescent="0.25">
      <c r="A136" t="s">
        <v>359</v>
      </c>
      <c r="B136" t="s">
        <v>360</v>
      </c>
      <c r="C136" t="s">
        <v>361</v>
      </c>
      <c r="E136">
        <v>710551.13</v>
      </c>
      <c r="F136">
        <v>0</v>
      </c>
    </row>
    <row r="137" spans="1:6" x14ac:dyDescent="0.25">
      <c r="A137" t="s">
        <v>362</v>
      </c>
      <c r="B137" t="s">
        <v>363</v>
      </c>
      <c r="C137" t="s">
        <v>364</v>
      </c>
      <c r="E137">
        <v>0</v>
      </c>
      <c r="F137">
        <v>0</v>
      </c>
    </row>
    <row r="138" spans="1:6" x14ac:dyDescent="0.25">
      <c r="A138" t="s">
        <v>365</v>
      </c>
      <c r="B138" t="s">
        <v>363</v>
      </c>
      <c r="C138" t="s">
        <v>366</v>
      </c>
      <c r="E138">
        <v>0</v>
      </c>
      <c r="F138">
        <v>0</v>
      </c>
    </row>
    <row r="139" spans="1:6" x14ac:dyDescent="0.25">
      <c r="A139" t="s">
        <v>367</v>
      </c>
      <c r="B139" t="s">
        <v>363</v>
      </c>
      <c r="C139" t="s">
        <v>368</v>
      </c>
      <c r="E139">
        <v>0</v>
      </c>
      <c r="F139">
        <v>0</v>
      </c>
    </row>
    <row r="140" spans="1:6" x14ac:dyDescent="0.25">
      <c r="A140" t="s">
        <v>369</v>
      </c>
      <c r="B140" t="s">
        <v>363</v>
      </c>
      <c r="C140" t="s">
        <v>370</v>
      </c>
      <c r="E140">
        <v>0</v>
      </c>
      <c r="F140">
        <v>0</v>
      </c>
    </row>
    <row r="141" spans="1:6" x14ac:dyDescent="0.25">
      <c r="A141" t="s">
        <v>371</v>
      </c>
      <c r="B141" t="s">
        <v>372</v>
      </c>
      <c r="C141" t="s">
        <v>373</v>
      </c>
      <c r="E141">
        <v>0</v>
      </c>
      <c r="F141">
        <v>0</v>
      </c>
    </row>
    <row r="142" spans="1:6" x14ac:dyDescent="0.25">
      <c r="A142" t="s">
        <v>374</v>
      </c>
      <c r="B142" t="s">
        <v>372</v>
      </c>
      <c r="C142" t="s">
        <v>375</v>
      </c>
      <c r="E142">
        <v>0</v>
      </c>
      <c r="F142">
        <v>0</v>
      </c>
    </row>
    <row r="143" spans="1:6" x14ac:dyDescent="0.25">
      <c r="A143" t="s">
        <v>376</v>
      </c>
      <c r="B143" t="s">
        <v>377</v>
      </c>
      <c r="C143" t="s">
        <v>378</v>
      </c>
      <c r="E143">
        <v>0</v>
      </c>
      <c r="F143">
        <v>0</v>
      </c>
    </row>
    <row r="144" spans="1:6" x14ac:dyDescent="0.25">
      <c r="A144" t="s">
        <v>379</v>
      </c>
      <c r="B144" t="s">
        <v>377</v>
      </c>
      <c r="C144" t="s">
        <v>380</v>
      </c>
      <c r="E144">
        <v>671262.95</v>
      </c>
      <c r="F144">
        <v>0</v>
      </c>
    </row>
    <row r="145" spans="1:6" x14ac:dyDescent="0.25">
      <c r="A145" t="s">
        <v>381</v>
      </c>
      <c r="B145" t="s">
        <v>382</v>
      </c>
      <c r="C145" t="s">
        <v>383</v>
      </c>
      <c r="E145">
        <v>0</v>
      </c>
      <c r="F145">
        <v>0</v>
      </c>
    </row>
    <row r="146" spans="1:6" x14ac:dyDescent="0.25">
      <c r="A146" t="s">
        <v>384</v>
      </c>
      <c r="B146" t="s">
        <v>382</v>
      </c>
      <c r="C146" t="s">
        <v>385</v>
      </c>
      <c r="E146">
        <v>0</v>
      </c>
      <c r="F146">
        <v>0</v>
      </c>
    </row>
    <row r="147" spans="1:6" x14ac:dyDescent="0.25">
      <c r="A147" t="s">
        <v>386</v>
      </c>
      <c r="B147" t="s">
        <v>382</v>
      </c>
      <c r="C147" t="s">
        <v>387</v>
      </c>
      <c r="E147">
        <v>0</v>
      </c>
      <c r="F147">
        <v>0</v>
      </c>
    </row>
    <row r="148" spans="1:6" x14ac:dyDescent="0.25">
      <c r="A148" t="s">
        <v>388</v>
      </c>
      <c r="B148" t="s">
        <v>389</v>
      </c>
      <c r="C148" t="s">
        <v>390</v>
      </c>
      <c r="E148">
        <v>0</v>
      </c>
      <c r="F148">
        <v>0</v>
      </c>
    </row>
    <row r="149" spans="1:6" x14ac:dyDescent="0.25">
      <c r="A149" t="s">
        <v>391</v>
      </c>
      <c r="B149" t="s">
        <v>389</v>
      </c>
      <c r="C149" t="s">
        <v>392</v>
      </c>
      <c r="E149">
        <v>1064161.06</v>
      </c>
      <c r="F149">
        <v>0</v>
      </c>
    </row>
    <row r="150" spans="1:6" x14ac:dyDescent="0.25">
      <c r="A150" t="s">
        <v>393</v>
      </c>
      <c r="B150" t="s">
        <v>389</v>
      </c>
      <c r="C150" t="s">
        <v>394</v>
      </c>
      <c r="E150">
        <v>0</v>
      </c>
      <c r="F150">
        <v>0</v>
      </c>
    </row>
    <row r="151" spans="1:6" x14ac:dyDescent="0.25">
      <c r="A151" t="s">
        <v>395</v>
      </c>
      <c r="B151" t="s">
        <v>396</v>
      </c>
      <c r="C151" t="s">
        <v>397</v>
      </c>
      <c r="E151">
        <v>0</v>
      </c>
      <c r="F151">
        <v>0</v>
      </c>
    </row>
    <row r="152" spans="1:6" x14ac:dyDescent="0.25">
      <c r="A152" t="s">
        <v>398</v>
      </c>
      <c r="B152" t="s">
        <v>396</v>
      </c>
      <c r="C152" t="s">
        <v>314</v>
      </c>
      <c r="E152">
        <v>0</v>
      </c>
      <c r="F152">
        <v>0</v>
      </c>
    </row>
    <row r="153" spans="1:6" x14ac:dyDescent="0.25">
      <c r="A153" t="s">
        <v>399</v>
      </c>
      <c r="B153" t="s">
        <v>396</v>
      </c>
      <c r="C153" t="s">
        <v>400</v>
      </c>
      <c r="E153">
        <v>0</v>
      </c>
      <c r="F153">
        <v>0</v>
      </c>
    </row>
    <row r="154" spans="1:6" x14ac:dyDescent="0.25">
      <c r="A154" t="s">
        <v>401</v>
      </c>
      <c r="B154" t="s">
        <v>402</v>
      </c>
      <c r="C154" t="s">
        <v>403</v>
      </c>
      <c r="E154">
        <v>19817.919999999998</v>
      </c>
      <c r="F154">
        <v>0</v>
      </c>
    </row>
    <row r="155" spans="1:6" x14ac:dyDescent="0.25">
      <c r="A155" t="s">
        <v>404</v>
      </c>
      <c r="B155" t="s">
        <v>405</v>
      </c>
      <c r="C155" t="s">
        <v>406</v>
      </c>
      <c r="E155">
        <v>0</v>
      </c>
      <c r="F155">
        <v>0</v>
      </c>
    </row>
    <row r="156" spans="1:6" x14ac:dyDescent="0.25">
      <c r="A156" t="s">
        <v>407</v>
      </c>
      <c r="B156" t="s">
        <v>405</v>
      </c>
      <c r="C156" t="s">
        <v>408</v>
      </c>
      <c r="E156">
        <v>0</v>
      </c>
      <c r="F156">
        <v>0</v>
      </c>
    </row>
    <row r="157" spans="1:6" x14ac:dyDescent="0.25">
      <c r="A157" t="s">
        <v>409</v>
      </c>
      <c r="B157" t="s">
        <v>410</v>
      </c>
      <c r="C157" t="s">
        <v>411</v>
      </c>
      <c r="E157">
        <v>0</v>
      </c>
      <c r="F157">
        <v>0</v>
      </c>
    </row>
    <row r="158" spans="1:6" x14ac:dyDescent="0.25">
      <c r="A158" t="s">
        <v>412</v>
      </c>
      <c r="B158" t="s">
        <v>410</v>
      </c>
      <c r="C158" t="s">
        <v>413</v>
      </c>
      <c r="E158">
        <v>74228.81</v>
      </c>
      <c r="F158">
        <v>0</v>
      </c>
    </row>
    <row r="159" spans="1:6" x14ac:dyDescent="0.25">
      <c r="A159" t="s">
        <v>414</v>
      </c>
      <c r="B159" t="s">
        <v>415</v>
      </c>
      <c r="C159" t="s">
        <v>415</v>
      </c>
      <c r="E159">
        <v>1475032.01</v>
      </c>
      <c r="F159">
        <v>0</v>
      </c>
    </row>
    <row r="160" spans="1:6" x14ac:dyDescent="0.25">
      <c r="A160" t="s">
        <v>416</v>
      </c>
      <c r="B160" t="s">
        <v>417</v>
      </c>
      <c r="C160" t="s">
        <v>418</v>
      </c>
      <c r="E160">
        <v>0</v>
      </c>
      <c r="F160">
        <v>0</v>
      </c>
    </row>
    <row r="161" spans="1:6" x14ac:dyDescent="0.25">
      <c r="A161" t="s">
        <v>419</v>
      </c>
      <c r="B161" t="s">
        <v>417</v>
      </c>
      <c r="C161" t="s">
        <v>420</v>
      </c>
      <c r="E161">
        <v>0</v>
      </c>
      <c r="F161">
        <v>0</v>
      </c>
    </row>
    <row r="162" spans="1:6" x14ac:dyDescent="0.25">
      <c r="A162" t="s">
        <v>421</v>
      </c>
      <c r="B162" t="s">
        <v>422</v>
      </c>
      <c r="C162" t="s">
        <v>423</v>
      </c>
      <c r="E162">
        <v>0</v>
      </c>
      <c r="F162">
        <v>0</v>
      </c>
    </row>
    <row r="163" spans="1:6" x14ac:dyDescent="0.25">
      <c r="A163" t="s">
        <v>424</v>
      </c>
      <c r="B163" t="s">
        <v>422</v>
      </c>
      <c r="C163" t="s">
        <v>425</v>
      </c>
      <c r="E163">
        <v>7823.44</v>
      </c>
      <c r="F163">
        <v>0</v>
      </c>
    </row>
    <row r="164" spans="1:6" x14ac:dyDescent="0.25">
      <c r="A164" t="s">
        <v>426</v>
      </c>
      <c r="B164" t="s">
        <v>422</v>
      </c>
      <c r="C164" t="s">
        <v>427</v>
      </c>
      <c r="E164">
        <v>0</v>
      </c>
      <c r="F164">
        <v>0</v>
      </c>
    </row>
    <row r="165" spans="1:6" x14ac:dyDescent="0.25">
      <c r="A165" t="s">
        <v>428</v>
      </c>
      <c r="B165" t="s">
        <v>422</v>
      </c>
      <c r="C165" t="s">
        <v>429</v>
      </c>
      <c r="E165">
        <v>0</v>
      </c>
      <c r="F165">
        <v>0</v>
      </c>
    </row>
    <row r="166" spans="1:6" x14ac:dyDescent="0.25">
      <c r="A166" t="s">
        <v>430</v>
      </c>
      <c r="B166" t="s">
        <v>422</v>
      </c>
      <c r="C166" t="s">
        <v>431</v>
      </c>
      <c r="E166">
        <v>76952.78</v>
      </c>
      <c r="F166">
        <v>0</v>
      </c>
    </row>
    <row r="167" spans="1:6" x14ac:dyDescent="0.25">
      <c r="A167" t="s">
        <v>432</v>
      </c>
      <c r="B167" t="s">
        <v>433</v>
      </c>
      <c r="C167" t="s">
        <v>434</v>
      </c>
      <c r="E167">
        <v>0</v>
      </c>
      <c r="F167">
        <v>0</v>
      </c>
    </row>
    <row r="168" spans="1:6" x14ac:dyDescent="0.25">
      <c r="A168" t="s">
        <v>435</v>
      </c>
      <c r="B168" t="s">
        <v>433</v>
      </c>
      <c r="C168" t="s">
        <v>436</v>
      </c>
      <c r="E168">
        <v>0</v>
      </c>
      <c r="F168">
        <v>0</v>
      </c>
    </row>
    <row r="169" spans="1:6" x14ac:dyDescent="0.25">
      <c r="A169" t="s">
        <v>437</v>
      </c>
      <c r="B169" t="s">
        <v>433</v>
      </c>
      <c r="C169" t="s">
        <v>438</v>
      </c>
      <c r="E169">
        <v>46526.37</v>
      </c>
      <c r="F169">
        <v>0</v>
      </c>
    </row>
    <row r="170" spans="1:6" x14ac:dyDescent="0.25">
      <c r="A170" t="s">
        <v>439</v>
      </c>
      <c r="B170" t="s">
        <v>433</v>
      </c>
      <c r="C170" t="s">
        <v>440</v>
      </c>
      <c r="E170">
        <v>0</v>
      </c>
      <c r="F170">
        <v>0</v>
      </c>
    </row>
    <row r="171" spans="1:6" x14ac:dyDescent="0.25">
      <c r="A171" t="s">
        <v>441</v>
      </c>
      <c r="B171" t="s">
        <v>433</v>
      </c>
      <c r="C171" t="s">
        <v>442</v>
      </c>
      <c r="E171">
        <v>0</v>
      </c>
      <c r="F171">
        <v>0</v>
      </c>
    </row>
    <row r="172" spans="1:6" x14ac:dyDescent="0.25">
      <c r="A172" t="s">
        <v>443</v>
      </c>
      <c r="B172" t="s">
        <v>433</v>
      </c>
      <c r="C172" t="s">
        <v>444</v>
      </c>
      <c r="E172">
        <v>0</v>
      </c>
      <c r="F172">
        <v>0</v>
      </c>
    </row>
    <row r="173" spans="1:6" x14ac:dyDescent="0.25">
      <c r="A173" t="s">
        <v>445</v>
      </c>
      <c r="B173" t="s">
        <v>433</v>
      </c>
      <c r="C173" t="s">
        <v>446</v>
      </c>
      <c r="E173">
        <v>0</v>
      </c>
      <c r="F173">
        <v>0</v>
      </c>
    </row>
    <row r="174" spans="1:6" x14ac:dyDescent="0.25">
      <c r="A174" t="s">
        <v>447</v>
      </c>
      <c r="B174" t="s">
        <v>433</v>
      </c>
      <c r="C174" t="s">
        <v>448</v>
      </c>
      <c r="E174">
        <v>0</v>
      </c>
      <c r="F174">
        <v>0</v>
      </c>
    </row>
    <row r="175" spans="1:6" x14ac:dyDescent="0.25">
      <c r="A175" t="s">
        <v>449</v>
      </c>
      <c r="B175" t="s">
        <v>433</v>
      </c>
      <c r="C175" t="s">
        <v>450</v>
      </c>
      <c r="E175">
        <v>0</v>
      </c>
      <c r="F175">
        <v>0</v>
      </c>
    </row>
    <row r="176" spans="1:6" x14ac:dyDescent="0.25">
      <c r="A176" t="s">
        <v>451</v>
      </c>
      <c r="B176" t="s">
        <v>433</v>
      </c>
      <c r="C176" t="s">
        <v>452</v>
      </c>
      <c r="E176">
        <v>0</v>
      </c>
      <c r="F176">
        <v>0</v>
      </c>
    </row>
    <row r="177" spans="1:6" x14ac:dyDescent="0.25">
      <c r="A177" t="s">
        <v>453</v>
      </c>
      <c r="B177" t="s">
        <v>433</v>
      </c>
      <c r="C177" t="s">
        <v>454</v>
      </c>
      <c r="E177">
        <v>0</v>
      </c>
      <c r="F177">
        <v>0</v>
      </c>
    </row>
    <row r="178" spans="1:6" x14ac:dyDescent="0.25">
      <c r="A178" t="s">
        <v>455</v>
      </c>
      <c r="B178" t="s">
        <v>433</v>
      </c>
      <c r="C178" t="s">
        <v>456</v>
      </c>
      <c r="E178">
        <v>0</v>
      </c>
      <c r="F178">
        <v>0</v>
      </c>
    </row>
    <row r="179" spans="1:6" x14ac:dyDescent="0.25">
      <c r="A179" t="s">
        <v>457</v>
      </c>
      <c r="B179" t="s">
        <v>458</v>
      </c>
      <c r="C179" t="s">
        <v>459</v>
      </c>
      <c r="E179">
        <v>0</v>
      </c>
      <c r="F179">
        <v>0</v>
      </c>
    </row>
    <row r="180" spans="1:6" x14ac:dyDescent="0.25">
      <c r="A180" t="s">
        <v>460</v>
      </c>
      <c r="B180" t="s">
        <v>458</v>
      </c>
      <c r="C180" t="s">
        <v>461</v>
      </c>
      <c r="E180">
        <v>0</v>
      </c>
      <c r="F180">
        <v>0</v>
      </c>
    </row>
    <row r="181" spans="1:6" x14ac:dyDescent="0.25">
      <c r="A181" t="s">
        <v>462</v>
      </c>
      <c r="B181" t="s">
        <v>458</v>
      </c>
      <c r="C181" t="s">
        <v>463</v>
      </c>
      <c r="E181">
        <v>0</v>
      </c>
      <c r="F181">
        <v>0</v>
      </c>
    </row>
    <row r="182" spans="1:6" x14ac:dyDescent="0.25">
      <c r="A182" t="s">
        <v>464</v>
      </c>
      <c r="B182" t="s">
        <v>458</v>
      </c>
      <c r="C182" t="s">
        <v>465</v>
      </c>
      <c r="E182">
        <v>0</v>
      </c>
      <c r="F182">
        <v>0</v>
      </c>
    </row>
    <row r="183" spans="1:6" x14ac:dyDescent="0.25">
      <c r="E183">
        <v>20885248.509999998</v>
      </c>
      <c r="F183">
        <v>387510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D804-FF71-4400-927E-21CC658F636E}">
  <sheetPr>
    <tabColor theme="9" tint="0.59999389629810485"/>
    <pageSetUpPr fitToPage="1"/>
  </sheetPr>
  <dimension ref="B4:K12"/>
  <sheetViews>
    <sheetView workbookViewId="0"/>
  </sheetViews>
  <sheetFormatPr defaultRowHeight="12.5" x14ac:dyDescent="0.25"/>
  <cols>
    <col min="1" max="240" width="8.83203125" style="127"/>
    <col min="241" max="241" width="1.83203125" style="127" customWidth="1"/>
    <col min="242" max="242" width="8.83203125" style="127"/>
    <col min="243" max="243" width="10.25" style="127" bestFit="1" customWidth="1"/>
    <col min="244" max="252" width="8.83203125" style="127"/>
    <col min="253" max="253" width="1.5" style="127" customWidth="1"/>
    <col min="254" max="496" width="8.83203125" style="127"/>
    <col min="497" max="497" width="1.83203125" style="127" customWidth="1"/>
    <col min="498" max="498" width="8.83203125" style="127"/>
    <col min="499" max="499" width="10.25" style="127" bestFit="1" customWidth="1"/>
    <col min="500" max="508" width="8.83203125" style="127"/>
    <col min="509" max="509" width="1.5" style="127" customWidth="1"/>
    <col min="510" max="752" width="8.83203125" style="127"/>
    <col min="753" max="753" width="1.83203125" style="127" customWidth="1"/>
    <col min="754" max="754" width="8.83203125" style="127"/>
    <col min="755" max="755" width="10.25" style="127" bestFit="1" customWidth="1"/>
    <col min="756" max="764" width="8.83203125" style="127"/>
    <col min="765" max="765" width="1.5" style="127" customWidth="1"/>
    <col min="766" max="1008" width="8.83203125" style="127"/>
    <col min="1009" max="1009" width="1.83203125" style="127" customWidth="1"/>
    <col min="1010" max="1010" width="8.83203125" style="127"/>
    <col min="1011" max="1011" width="10.25" style="127" bestFit="1" customWidth="1"/>
    <col min="1012" max="1020" width="8.83203125" style="127"/>
    <col min="1021" max="1021" width="1.5" style="127" customWidth="1"/>
    <col min="1022" max="1264" width="8.83203125" style="127"/>
    <col min="1265" max="1265" width="1.83203125" style="127" customWidth="1"/>
    <col min="1266" max="1266" width="8.83203125" style="127"/>
    <col min="1267" max="1267" width="10.25" style="127" bestFit="1" customWidth="1"/>
    <col min="1268" max="1276" width="8.83203125" style="127"/>
    <col min="1277" max="1277" width="1.5" style="127" customWidth="1"/>
    <col min="1278" max="1520" width="8.83203125" style="127"/>
    <col min="1521" max="1521" width="1.83203125" style="127" customWidth="1"/>
    <col min="1522" max="1522" width="8.83203125" style="127"/>
    <col min="1523" max="1523" width="10.25" style="127" bestFit="1" customWidth="1"/>
    <col min="1524" max="1532" width="8.83203125" style="127"/>
    <col min="1533" max="1533" width="1.5" style="127" customWidth="1"/>
    <col min="1534" max="1776" width="8.83203125" style="127"/>
    <col min="1777" max="1777" width="1.83203125" style="127" customWidth="1"/>
    <col min="1778" max="1778" width="8.83203125" style="127"/>
    <col min="1779" max="1779" width="10.25" style="127" bestFit="1" customWidth="1"/>
    <col min="1780" max="1788" width="8.83203125" style="127"/>
    <col min="1789" max="1789" width="1.5" style="127" customWidth="1"/>
    <col min="1790" max="2032" width="8.83203125" style="127"/>
    <col min="2033" max="2033" width="1.83203125" style="127" customWidth="1"/>
    <col min="2034" max="2034" width="8.83203125" style="127"/>
    <col min="2035" max="2035" width="10.25" style="127" bestFit="1" customWidth="1"/>
    <col min="2036" max="2044" width="8.83203125" style="127"/>
    <col min="2045" max="2045" width="1.5" style="127" customWidth="1"/>
    <col min="2046" max="2288" width="8.83203125" style="127"/>
    <col min="2289" max="2289" width="1.83203125" style="127" customWidth="1"/>
    <col min="2290" max="2290" width="8.83203125" style="127"/>
    <col min="2291" max="2291" width="10.25" style="127" bestFit="1" customWidth="1"/>
    <col min="2292" max="2300" width="8.83203125" style="127"/>
    <col min="2301" max="2301" width="1.5" style="127" customWidth="1"/>
    <col min="2302" max="2544" width="8.83203125" style="127"/>
    <col min="2545" max="2545" width="1.83203125" style="127" customWidth="1"/>
    <col min="2546" max="2546" width="8.83203125" style="127"/>
    <col min="2547" max="2547" width="10.25" style="127" bestFit="1" customWidth="1"/>
    <col min="2548" max="2556" width="8.83203125" style="127"/>
    <col min="2557" max="2557" width="1.5" style="127" customWidth="1"/>
    <col min="2558" max="2800" width="8.83203125" style="127"/>
    <col min="2801" max="2801" width="1.83203125" style="127" customWidth="1"/>
    <col min="2802" max="2802" width="8.83203125" style="127"/>
    <col min="2803" max="2803" width="10.25" style="127" bestFit="1" customWidth="1"/>
    <col min="2804" max="2812" width="8.83203125" style="127"/>
    <col min="2813" max="2813" width="1.5" style="127" customWidth="1"/>
    <col min="2814" max="3056" width="8.83203125" style="127"/>
    <col min="3057" max="3057" width="1.83203125" style="127" customWidth="1"/>
    <col min="3058" max="3058" width="8.83203125" style="127"/>
    <col min="3059" max="3059" width="10.25" style="127" bestFit="1" customWidth="1"/>
    <col min="3060" max="3068" width="8.83203125" style="127"/>
    <col min="3069" max="3069" width="1.5" style="127" customWidth="1"/>
    <col min="3070" max="3312" width="8.83203125" style="127"/>
    <col min="3313" max="3313" width="1.83203125" style="127" customWidth="1"/>
    <col min="3314" max="3314" width="8.83203125" style="127"/>
    <col min="3315" max="3315" width="10.25" style="127" bestFit="1" customWidth="1"/>
    <col min="3316" max="3324" width="8.83203125" style="127"/>
    <col min="3325" max="3325" width="1.5" style="127" customWidth="1"/>
    <col min="3326" max="3568" width="8.83203125" style="127"/>
    <col min="3569" max="3569" width="1.83203125" style="127" customWidth="1"/>
    <col min="3570" max="3570" width="8.83203125" style="127"/>
    <col min="3571" max="3571" width="10.25" style="127" bestFit="1" customWidth="1"/>
    <col min="3572" max="3580" width="8.83203125" style="127"/>
    <col min="3581" max="3581" width="1.5" style="127" customWidth="1"/>
    <col min="3582" max="3824" width="8.83203125" style="127"/>
    <col min="3825" max="3825" width="1.83203125" style="127" customWidth="1"/>
    <col min="3826" max="3826" width="8.83203125" style="127"/>
    <col min="3827" max="3827" width="10.25" style="127" bestFit="1" customWidth="1"/>
    <col min="3828" max="3836" width="8.83203125" style="127"/>
    <col min="3837" max="3837" width="1.5" style="127" customWidth="1"/>
    <col min="3838" max="4080" width="8.83203125" style="127"/>
    <col min="4081" max="4081" width="1.83203125" style="127" customWidth="1"/>
    <col min="4082" max="4082" width="8.83203125" style="127"/>
    <col min="4083" max="4083" width="10.25" style="127" bestFit="1" customWidth="1"/>
    <col min="4084" max="4092" width="8.83203125" style="127"/>
    <col min="4093" max="4093" width="1.5" style="127" customWidth="1"/>
    <col min="4094" max="4336" width="8.83203125" style="127"/>
    <col min="4337" max="4337" width="1.83203125" style="127" customWidth="1"/>
    <col min="4338" max="4338" width="8.83203125" style="127"/>
    <col min="4339" max="4339" width="10.25" style="127" bestFit="1" customWidth="1"/>
    <col min="4340" max="4348" width="8.83203125" style="127"/>
    <col min="4349" max="4349" width="1.5" style="127" customWidth="1"/>
    <col min="4350" max="4592" width="8.83203125" style="127"/>
    <col min="4593" max="4593" width="1.83203125" style="127" customWidth="1"/>
    <col min="4594" max="4594" width="8.83203125" style="127"/>
    <col min="4595" max="4595" width="10.25" style="127" bestFit="1" customWidth="1"/>
    <col min="4596" max="4604" width="8.83203125" style="127"/>
    <col min="4605" max="4605" width="1.5" style="127" customWidth="1"/>
    <col min="4606" max="4848" width="8.83203125" style="127"/>
    <col min="4849" max="4849" width="1.83203125" style="127" customWidth="1"/>
    <col min="4850" max="4850" width="8.83203125" style="127"/>
    <col min="4851" max="4851" width="10.25" style="127" bestFit="1" customWidth="1"/>
    <col min="4852" max="4860" width="8.83203125" style="127"/>
    <col min="4861" max="4861" width="1.5" style="127" customWidth="1"/>
    <col min="4862" max="5104" width="8.83203125" style="127"/>
    <col min="5105" max="5105" width="1.83203125" style="127" customWidth="1"/>
    <col min="5106" max="5106" width="8.83203125" style="127"/>
    <col min="5107" max="5107" width="10.25" style="127" bestFit="1" customWidth="1"/>
    <col min="5108" max="5116" width="8.83203125" style="127"/>
    <col min="5117" max="5117" width="1.5" style="127" customWidth="1"/>
    <col min="5118" max="5360" width="8.83203125" style="127"/>
    <col min="5361" max="5361" width="1.83203125" style="127" customWidth="1"/>
    <col min="5362" max="5362" width="8.83203125" style="127"/>
    <col min="5363" max="5363" width="10.25" style="127" bestFit="1" customWidth="1"/>
    <col min="5364" max="5372" width="8.83203125" style="127"/>
    <col min="5373" max="5373" width="1.5" style="127" customWidth="1"/>
    <col min="5374" max="5616" width="8.83203125" style="127"/>
    <col min="5617" max="5617" width="1.83203125" style="127" customWidth="1"/>
    <col min="5618" max="5618" width="8.83203125" style="127"/>
    <col min="5619" max="5619" width="10.25" style="127" bestFit="1" customWidth="1"/>
    <col min="5620" max="5628" width="8.83203125" style="127"/>
    <col min="5629" max="5629" width="1.5" style="127" customWidth="1"/>
    <col min="5630" max="5872" width="8.83203125" style="127"/>
    <col min="5873" max="5873" width="1.83203125" style="127" customWidth="1"/>
    <col min="5874" max="5874" width="8.83203125" style="127"/>
    <col min="5875" max="5875" width="10.25" style="127" bestFit="1" customWidth="1"/>
    <col min="5876" max="5884" width="8.83203125" style="127"/>
    <col min="5885" max="5885" width="1.5" style="127" customWidth="1"/>
    <col min="5886" max="6128" width="8.83203125" style="127"/>
    <col min="6129" max="6129" width="1.83203125" style="127" customWidth="1"/>
    <col min="6130" max="6130" width="8.83203125" style="127"/>
    <col min="6131" max="6131" width="10.25" style="127" bestFit="1" customWidth="1"/>
    <col min="6132" max="6140" width="8.83203125" style="127"/>
    <col min="6141" max="6141" width="1.5" style="127" customWidth="1"/>
    <col min="6142" max="6384" width="8.83203125" style="127"/>
    <col min="6385" max="6385" width="1.83203125" style="127" customWidth="1"/>
    <col min="6386" max="6386" width="8.83203125" style="127"/>
    <col min="6387" max="6387" width="10.25" style="127" bestFit="1" customWidth="1"/>
    <col min="6388" max="6396" width="8.83203125" style="127"/>
    <col min="6397" max="6397" width="1.5" style="127" customWidth="1"/>
    <col min="6398" max="6640" width="8.83203125" style="127"/>
    <col min="6641" max="6641" width="1.83203125" style="127" customWidth="1"/>
    <col min="6642" max="6642" width="8.83203125" style="127"/>
    <col min="6643" max="6643" width="10.25" style="127" bestFit="1" customWidth="1"/>
    <col min="6644" max="6652" width="8.83203125" style="127"/>
    <col min="6653" max="6653" width="1.5" style="127" customWidth="1"/>
    <col min="6654" max="6896" width="8.83203125" style="127"/>
    <col min="6897" max="6897" width="1.83203125" style="127" customWidth="1"/>
    <col min="6898" max="6898" width="8.83203125" style="127"/>
    <col min="6899" max="6899" width="10.25" style="127" bestFit="1" customWidth="1"/>
    <col min="6900" max="6908" width="8.83203125" style="127"/>
    <col min="6909" max="6909" width="1.5" style="127" customWidth="1"/>
    <col min="6910" max="7152" width="8.83203125" style="127"/>
    <col min="7153" max="7153" width="1.83203125" style="127" customWidth="1"/>
    <col min="7154" max="7154" width="8.83203125" style="127"/>
    <col min="7155" max="7155" width="10.25" style="127" bestFit="1" customWidth="1"/>
    <col min="7156" max="7164" width="8.83203125" style="127"/>
    <col min="7165" max="7165" width="1.5" style="127" customWidth="1"/>
    <col min="7166" max="7408" width="8.83203125" style="127"/>
    <col min="7409" max="7409" width="1.83203125" style="127" customWidth="1"/>
    <col min="7410" max="7410" width="8.83203125" style="127"/>
    <col min="7411" max="7411" width="10.25" style="127" bestFit="1" customWidth="1"/>
    <col min="7412" max="7420" width="8.83203125" style="127"/>
    <col min="7421" max="7421" width="1.5" style="127" customWidth="1"/>
    <col min="7422" max="7664" width="8.83203125" style="127"/>
    <col min="7665" max="7665" width="1.83203125" style="127" customWidth="1"/>
    <col min="7666" max="7666" width="8.83203125" style="127"/>
    <col min="7667" max="7667" width="10.25" style="127" bestFit="1" customWidth="1"/>
    <col min="7668" max="7676" width="8.83203125" style="127"/>
    <col min="7677" max="7677" width="1.5" style="127" customWidth="1"/>
    <col min="7678" max="7920" width="8.83203125" style="127"/>
    <col min="7921" max="7921" width="1.83203125" style="127" customWidth="1"/>
    <col min="7922" max="7922" width="8.83203125" style="127"/>
    <col min="7923" max="7923" width="10.25" style="127" bestFit="1" customWidth="1"/>
    <col min="7924" max="7932" width="8.83203125" style="127"/>
    <col min="7933" max="7933" width="1.5" style="127" customWidth="1"/>
    <col min="7934" max="8176" width="8.83203125" style="127"/>
    <col min="8177" max="8177" width="1.83203125" style="127" customWidth="1"/>
    <col min="8178" max="8178" width="8.83203125" style="127"/>
    <col min="8179" max="8179" width="10.25" style="127" bestFit="1" customWidth="1"/>
    <col min="8180" max="8188" width="8.83203125" style="127"/>
    <col min="8189" max="8189" width="1.5" style="127" customWidth="1"/>
    <col min="8190" max="8432" width="8.83203125" style="127"/>
    <col min="8433" max="8433" width="1.83203125" style="127" customWidth="1"/>
    <col min="8434" max="8434" width="8.83203125" style="127"/>
    <col min="8435" max="8435" width="10.25" style="127" bestFit="1" customWidth="1"/>
    <col min="8436" max="8444" width="8.83203125" style="127"/>
    <col min="8445" max="8445" width="1.5" style="127" customWidth="1"/>
    <col min="8446" max="8688" width="8.83203125" style="127"/>
    <col min="8689" max="8689" width="1.83203125" style="127" customWidth="1"/>
    <col min="8690" max="8690" width="8.83203125" style="127"/>
    <col min="8691" max="8691" width="10.25" style="127" bestFit="1" customWidth="1"/>
    <col min="8692" max="8700" width="8.83203125" style="127"/>
    <col min="8701" max="8701" width="1.5" style="127" customWidth="1"/>
    <col min="8702" max="8944" width="8.83203125" style="127"/>
    <col min="8945" max="8945" width="1.83203125" style="127" customWidth="1"/>
    <col min="8946" max="8946" width="8.83203125" style="127"/>
    <col min="8947" max="8947" width="10.25" style="127" bestFit="1" customWidth="1"/>
    <col min="8948" max="8956" width="8.83203125" style="127"/>
    <col min="8957" max="8957" width="1.5" style="127" customWidth="1"/>
    <col min="8958" max="9200" width="8.83203125" style="127"/>
    <col min="9201" max="9201" width="1.83203125" style="127" customWidth="1"/>
    <col min="9202" max="9202" width="8.83203125" style="127"/>
    <col min="9203" max="9203" width="10.25" style="127" bestFit="1" customWidth="1"/>
    <col min="9204" max="9212" width="8.83203125" style="127"/>
    <col min="9213" max="9213" width="1.5" style="127" customWidth="1"/>
    <col min="9214" max="9456" width="8.83203125" style="127"/>
    <col min="9457" max="9457" width="1.83203125" style="127" customWidth="1"/>
    <col min="9458" max="9458" width="8.83203125" style="127"/>
    <col min="9459" max="9459" width="10.25" style="127" bestFit="1" customWidth="1"/>
    <col min="9460" max="9468" width="8.83203125" style="127"/>
    <col min="9469" max="9469" width="1.5" style="127" customWidth="1"/>
    <col min="9470" max="9712" width="8.83203125" style="127"/>
    <col min="9713" max="9713" width="1.83203125" style="127" customWidth="1"/>
    <col min="9714" max="9714" width="8.83203125" style="127"/>
    <col min="9715" max="9715" width="10.25" style="127" bestFit="1" customWidth="1"/>
    <col min="9716" max="9724" width="8.83203125" style="127"/>
    <col min="9725" max="9725" width="1.5" style="127" customWidth="1"/>
    <col min="9726" max="9968" width="8.83203125" style="127"/>
    <col min="9969" max="9969" width="1.83203125" style="127" customWidth="1"/>
    <col min="9970" max="9970" width="8.83203125" style="127"/>
    <col min="9971" max="9971" width="10.25" style="127" bestFit="1" customWidth="1"/>
    <col min="9972" max="9980" width="8.83203125" style="127"/>
    <col min="9981" max="9981" width="1.5" style="127" customWidth="1"/>
    <col min="9982" max="10224" width="8.83203125" style="127"/>
    <col min="10225" max="10225" width="1.83203125" style="127" customWidth="1"/>
    <col min="10226" max="10226" width="8.83203125" style="127"/>
    <col min="10227" max="10227" width="10.25" style="127" bestFit="1" customWidth="1"/>
    <col min="10228" max="10236" width="8.83203125" style="127"/>
    <col min="10237" max="10237" width="1.5" style="127" customWidth="1"/>
    <col min="10238" max="10480" width="8.83203125" style="127"/>
    <col min="10481" max="10481" width="1.83203125" style="127" customWidth="1"/>
    <col min="10482" max="10482" width="8.83203125" style="127"/>
    <col min="10483" max="10483" width="10.25" style="127" bestFit="1" customWidth="1"/>
    <col min="10484" max="10492" width="8.83203125" style="127"/>
    <col min="10493" max="10493" width="1.5" style="127" customWidth="1"/>
    <col min="10494" max="10736" width="8.83203125" style="127"/>
    <col min="10737" max="10737" width="1.83203125" style="127" customWidth="1"/>
    <col min="10738" max="10738" width="8.83203125" style="127"/>
    <col min="10739" max="10739" width="10.25" style="127" bestFit="1" customWidth="1"/>
    <col min="10740" max="10748" width="8.83203125" style="127"/>
    <col min="10749" max="10749" width="1.5" style="127" customWidth="1"/>
    <col min="10750" max="10992" width="8.83203125" style="127"/>
    <col min="10993" max="10993" width="1.83203125" style="127" customWidth="1"/>
    <col min="10994" max="10994" width="8.83203125" style="127"/>
    <col min="10995" max="10995" width="10.25" style="127" bestFit="1" customWidth="1"/>
    <col min="10996" max="11004" width="8.83203125" style="127"/>
    <col min="11005" max="11005" width="1.5" style="127" customWidth="1"/>
    <col min="11006" max="11248" width="8.83203125" style="127"/>
    <col min="11249" max="11249" width="1.83203125" style="127" customWidth="1"/>
    <col min="11250" max="11250" width="8.83203125" style="127"/>
    <col min="11251" max="11251" width="10.25" style="127" bestFit="1" customWidth="1"/>
    <col min="11252" max="11260" width="8.83203125" style="127"/>
    <col min="11261" max="11261" width="1.5" style="127" customWidth="1"/>
    <col min="11262" max="11504" width="8.83203125" style="127"/>
    <col min="11505" max="11505" width="1.83203125" style="127" customWidth="1"/>
    <col min="11506" max="11506" width="8.83203125" style="127"/>
    <col min="11507" max="11507" width="10.25" style="127" bestFit="1" customWidth="1"/>
    <col min="11508" max="11516" width="8.83203125" style="127"/>
    <col min="11517" max="11517" width="1.5" style="127" customWidth="1"/>
    <col min="11518" max="11760" width="8.83203125" style="127"/>
    <col min="11761" max="11761" width="1.83203125" style="127" customWidth="1"/>
    <col min="11762" max="11762" width="8.83203125" style="127"/>
    <col min="11763" max="11763" width="10.25" style="127" bestFit="1" customWidth="1"/>
    <col min="11764" max="11772" width="8.83203125" style="127"/>
    <col min="11773" max="11773" width="1.5" style="127" customWidth="1"/>
    <col min="11774" max="12016" width="8.83203125" style="127"/>
    <col min="12017" max="12017" width="1.83203125" style="127" customWidth="1"/>
    <col min="12018" max="12018" width="8.83203125" style="127"/>
    <col min="12019" max="12019" width="10.25" style="127" bestFit="1" customWidth="1"/>
    <col min="12020" max="12028" width="8.83203125" style="127"/>
    <col min="12029" max="12029" width="1.5" style="127" customWidth="1"/>
    <col min="12030" max="12272" width="8.83203125" style="127"/>
    <col min="12273" max="12273" width="1.83203125" style="127" customWidth="1"/>
    <col min="12274" max="12274" width="8.83203125" style="127"/>
    <col min="12275" max="12275" width="10.25" style="127" bestFit="1" customWidth="1"/>
    <col min="12276" max="12284" width="8.83203125" style="127"/>
    <col min="12285" max="12285" width="1.5" style="127" customWidth="1"/>
    <col min="12286" max="12528" width="8.83203125" style="127"/>
    <col min="12529" max="12529" width="1.83203125" style="127" customWidth="1"/>
    <col min="12530" max="12530" width="8.83203125" style="127"/>
    <col min="12531" max="12531" width="10.25" style="127" bestFit="1" customWidth="1"/>
    <col min="12532" max="12540" width="8.83203125" style="127"/>
    <col min="12541" max="12541" width="1.5" style="127" customWidth="1"/>
    <col min="12542" max="12784" width="8.83203125" style="127"/>
    <col min="12785" max="12785" width="1.83203125" style="127" customWidth="1"/>
    <col min="12786" max="12786" width="8.83203125" style="127"/>
    <col min="12787" max="12787" width="10.25" style="127" bestFit="1" customWidth="1"/>
    <col min="12788" max="12796" width="8.83203125" style="127"/>
    <col min="12797" max="12797" width="1.5" style="127" customWidth="1"/>
    <col min="12798" max="13040" width="8.83203125" style="127"/>
    <col min="13041" max="13041" width="1.83203125" style="127" customWidth="1"/>
    <col min="13042" max="13042" width="8.83203125" style="127"/>
    <col min="13043" max="13043" width="10.25" style="127" bestFit="1" customWidth="1"/>
    <col min="13044" max="13052" width="8.83203125" style="127"/>
    <col min="13053" max="13053" width="1.5" style="127" customWidth="1"/>
    <col min="13054" max="13296" width="8.83203125" style="127"/>
    <col min="13297" max="13297" width="1.83203125" style="127" customWidth="1"/>
    <col min="13298" max="13298" width="8.83203125" style="127"/>
    <col min="13299" max="13299" width="10.25" style="127" bestFit="1" customWidth="1"/>
    <col min="13300" max="13308" width="8.83203125" style="127"/>
    <col min="13309" max="13309" width="1.5" style="127" customWidth="1"/>
    <col min="13310" max="13552" width="8.83203125" style="127"/>
    <col min="13553" max="13553" width="1.83203125" style="127" customWidth="1"/>
    <col min="13554" max="13554" width="8.83203125" style="127"/>
    <col min="13555" max="13555" width="10.25" style="127" bestFit="1" customWidth="1"/>
    <col min="13556" max="13564" width="8.83203125" style="127"/>
    <col min="13565" max="13565" width="1.5" style="127" customWidth="1"/>
    <col min="13566" max="13808" width="8.83203125" style="127"/>
    <col min="13809" max="13809" width="1.83203125" style="127" customWidth="1"/>
    <col min="13810" max="13810" width="8.83203125" style="127"/>
    <col min="13811" max="13811" width="10.25" style="127" bestFit="1" customWidth="1"/>
    <col min="13812" max="13820" width="8.83203125" style="127"/>
    <col min="13821" max="13821" width="1.5" style="127" customWidth="1"/>
    <col min="13822" max="14064" width="8.83203125" style="127"/>
    <col min="14065" max="14065" width="1.83203125" style="127" customWidth="1"/>
    <col min="14066" max="14066" width="8.83203125" style="127"/>
    <col min="14067" max="14067" width="10.25" style="127" bestFit="1" customWidth="1"/>
    <col min="14068" max="14076" width="8.83203125" style="127"/>
    <col min="14077" max="14077" width="1.5" style="127" customWidth="1"/>
    <col min="14078" max="14320" width="8.83203125" style="127"/>
    <col min="14321" max="14321" width="1.83203125" style="127" customWidth="1"/>
    <col min="14322" max="14322" width="8.83203125" style="127"/>
    <col min="14323" max="14323" width="10.25" style="127" bestFit="1" customWidth="1"/>
    <col min="14324" max="14332" width="8.83203125" style="127"/>
    <col min="14333" max="14333" width="1.5" style="127" customWidth="1"/>
    <col min="14334" max="14576" width="8.83203125" style="127"/>
    <col min="14577" max="14577" width="1.83203125" style="127" customWidth="1"/>
    <col min="14578" max="14578" width="8.83203125" style="127"/>
    <col min="14579" max="14579" width="10.25" style="127" bestFit="1" customWidth="1"/>
    <col min="14580" max="14588" width="8.83203125" style="127"/>
    <col min="14589" max="14589" width="1.5" style="127" customWidth="1"/>
    <col min="14590" max="14832" width="8.83203125" style="127"/>
    <col min="14833" max="14833" width="1.83203125" style="127" customWidth="1"/>
    <col min="14834" max="14834" width="8.83203125" style="127"/>
    <col min="14835" max="14835" width="10.25" style="127" bestFit="1" customWidth="1"/>
    <col min="14836" max="14844" width="8.83203125" style="127"/>
    <col min="14845" max="14845" width="1.5" style="127" customWidth="1"/>
    <col min="14846" max="15088" width="8.83203125" style="127"/>
    <col min="15089" max="15089" width="1.83203125" style="127" customWidth="1"/>
    <col min="15090" max="15090" width="8.83203125" style="127"/>
    <col min="15091" max="15091" width="10.25" style="127" bestFit="1" customWidth="1"/>
    <col min="15092" max="15100" width="8.83203125" style="127"/>
    <col min="15101" max="15101" width="1.5" style="127" customWidth="1"/>
    <col min="15102" max="15344" width="8.83203125" style="127"/>
    <col min="15345" max="15345" width="1.83203125" style="127" customWidth="1"/>
    <col min="15346" max="15346" width="8.83203125" style="127"/>
    <col min="15347" max="15347" width="10.25" style="127" bestFit="1" customWidth="1"/>
    <col min="15348" max="15356" width="8.83203125" style="127"/>
    <col min="15357" max="15357" width="1.5" style="127" customWidth="1"/>
    <col min="15358" max="15600" width="8.83203125" style="127"/>
    <col min="15601" max="15601" width="1.83203125" style="127" customWidth="1"/>
    <col min="15602" max="15602" width="8.83203125" style="127"/>
    <col min="15603" max="15603" width="10.25" style="127" bestFit="1" customWidth="1"/>
    <col min="15604" max="15612" width="8.83203125" style="127"/>
    <col min="15613" max="15613" width="1.5" style="127" customWidth="1"/>
    <col min="15614" max="15856" width="8.83203125" style="127"/>
    <col min="15857" max="15857" width="1.83203125" style="127" customWidth="1"/>
    <col min="15858" max="15858" width="8.83203125" style="127"/>
    <col min="15859" max="15859" width="10.25" style="127" bestFit="1" customWidth="1"/>
    <col min="15860" max="15868" width="8.83203125" style="127"/>
    <col min="15869" max="15869" width="1.5" style="127" customWidth="1"/>
    <col min="15870" max="16112" width="8.83203125" style="127"/>
    <col min="16113" max="16113" width="1.83203125" style="127" customWidth="1"/>
    <col min="16114" max="16114" width="8.83203125" style="127"/>
    <col min="16115" max="16115" width="10.25" style="127" bestFit="1" customWidth="1"/>
    <col min="16116" max="16124" width="8.83203125" style="127"/>
    <col min="16125" max="16125" width="1.5" style="127" customWidth="1"/>
    <col min="16126" max="16384" width="8.83203125" style="127"/>
  </cols>
  <sheetData>
    <row r="4" spans="2:11" ht="29.25" customHeight="1" x14ac:dyDescent="0.5">
      <c r="B4" s="124" t="s">
        <v>466</v>
      </c>
      <c r="C4" s="123"/>
      <c r="D4" s="123"/>
      <c r="E4" s="123"/>
      <c r="F4" s="123"/>
      <c r="G4" s="123"/>
      <c r="H4" s="123"/>
      <c r="I4" s="123"/>
      <c r="J4" s="123"/>
    </row>
    <row r="5" spans="2:11" ht="23" x14ac:dyDescent="0.5">
      <c r="B5" s="123" t="s">
        <v>467</v>
      </c>
      <c r="C5" s="123"/>
      <c r="D5" s="123"/>
      <c r="E5" s="123"/>
      <c r="F5" s="123"/>
      <c r="G5" s="123"/>
      <c r="H5" s="123"/>
      <c r="I5" s="123"/>
      <c r="J5" s="123"/>
    </row>
    <row r="6" spans="2:11" ht="23" x14ac:dyDescent="0.5">
      <c r="B6" s="123" t="s">
        <v>468</v>
      </c>
      <c r="C6" s="123"/>
      <c r="D6" s="123"/>
      <c r="E6" s="123"/>
      <c r="F6" s="123"/>
      <c r="G6" s="123"/>
      <c r="H6" s="123"/>
      <c r="I6" s="123"/>
      <c r="J6" s="123"/>
    </row>
    <row r="7" spans="2:11" ht="23" x14ac:dyDescent="0.5">
      <c r="B7" s="123" t="s">
        <v>469</v>
      </c>
      <c r="C7" s="123"/>
      <c r="D7" s="123"/>
      <c r="E7" s="123"/>
      <c r="F7" s="123"/>
      <c r="G7" s="123"/>
      <c r="H7" s="123"/>
      <c r="I7" s="123"/>
      <c r="J7" s="123"/>
    </row>
    <row r="8" spans="2:11" ht="22.5" x14ac:dyDescent="0.45">
      <c r="B8" s="124" t="s">
        <v>470</v>
      </c>
      <c r="C8" s="124"/>
      <c r="D8" s="124"/>
      <c r="E8" s="124"/>
      <c r="F8" s="124"/>
      <c r="G8" s="124"/>
      <c r="H8" s="124"/>
      <c r="I8" s="124"/>
      <c r="J8" s="124"/>
      <c r="K8" s="153"/>
    </row>
    <row r="9" spans="2:11" ht="23" x14ac:dyDescent="0.5">
      <c r="B9" s="123" t="s">
        <v>471</v>
      </c>
      <c r="C9" s="123"/>
      <c r="D9" s="123"/>
      <c r="E9" s="123"/>
      <c r="F9" s="123"/>
      <c r="G9" s="123"/>
      <c r="H9" s="123"/>
      <c r="I9" s="123"/>
      <c r="J9" s="123"/>
    </row>
    <row r="10" spans="2:11" ht="23" x14ac:dyDescent="0.5">
      <c r="B10" s="123" t="s">
        <v>472</v>
      </c>
      <c r="C10" s="123"/>
      <c r="D10" s="123"/>
      <c r="E10" s="123"/>
      <c r="F10" s="123"/>
      <c r="G10" s="123"/>
      <c r="H10" s="123"/>
      <c r="I10" s="123"/>
      <c r="J10" s="123"/>
    </row>
    <row r="11" spans="2:11" ht="23" x14ac:dyDescent="0.5">
      <c r="B11" s="123" t="s">
        <v>473</v>
      </c>
      <c r="C11" s="123"/>
      <c r="D11" s="123"/>
      <c r="E11" s="123"/>
      <c r="F11" s="123"/>
      <c r="G11" s="123"/>
      <c r="H11" s="123"/>
      <c r="I11" s="123"/>
      <c r="J11" s="123"/>
    </row>
    <row r="12" spans="2:11" ht="23" x14ac:dyDescent="0.5">
      <c r="B12" s="123" t="s">
        <v>474</v>
      </c>
      <c r="C12" s="123"/>
      <c r="D12" s="123"/>
      <c r="E12" s="123"/>
      <c r="F12" s="123"/>
      <c r="G12" s="123"/>
      <c r="H12" s="123"/>
      <c r="I12" s="123"/>
      <c r="J12" s="123"/>
    </row>
  </sheetData>
  <pageMargins left="1.85" right="0.7" top="0.75" bottom="0.75" header="0.3" footer="0.3"/>
  <pageSetup scale="91" orientation="landscape"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5355E-7408-42C6-AA57-9B13D8447609}">
  <sheetPr>
    <tabColor theme="9" tint="0.59999389629810485"/>
    <pageSetUpPr fitToPage="1"/>
  </sheetPr>
  <dimension ref="A1:AU999"/>
  <sheetViews>
    <sheetView topLeftCell="O1"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9.7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7.58203125" style="17" customWidth="1"/>
    <col min="15" max="15" width="15.58203125" style="17" customWidth="1"/>
    <col min="16" max="16" width="16.0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34"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33"/>
      <c r="Y2" s="9"/>
      <c r="Z2" s="16"/>
      <c r="AA2" s="9"/>
      <c r="AB2" s="9"/>
      <c r="AC2" s="9"/>
      <c r="AD2" s="9"/>
      <c r="AE2" s="9"/>
      <c r="AF2" s="9"/>
      <c r="AG2" s="9"/>
      <c r="AH2" s="9"/>
      <c r="AI2" s="9"/>
      <c r="AJ2" s="9"/>
      <c r="AK2" s="9"/>
      <c r="AL2" s="9"/>
      <c r="AM2" s="9"/>
      <c r="AN2" s="9"/>
      <c r="AO2" s="9"/>
      <c r="AP2" s="9"/>
      <c r="AQ2" s="9"/>
      <c r="AR2" s="9"/>
      <c r="AS2" s="9"/>
      <c r="AT2" s="9"/>
      <c r="AU2" s="9"/>
    </row>
    <row r="3" spans="1:47" ht="31" x14ac:dyDescent="0.35">
      <c r="A3" s="8" t="s">
        <v>480</v>
      </c>
      <c r="B3" s="9"/>
      <c r="C3" s="14" t="s">
        <v>476</v>
      </c>
      <c r="D3" s="21"/>
      <c r="E3" s="15"/>
      <c r="F3" s="15"/>
      <c r="G3" s="15"/>
      <c r="H3" s="15"/>
      <c r="I3" s="22"/>
      <c r="J3" s="22"/>
      <c r="K3" s="22"/>
      <c r="L3" s="22"/>
      <c r="M3" s="22"/>
      <c r="N3" s="22"/>
      <c r="O3" s="22"/>
      <c r="P3" s="22"/>
      <c r="Q3" s="23"/>
      <c r="R3" s="22"/>
      <c r="S3" s="15"/>
      <c r="T3" s="22"/>
      <c r="U3" s="24"/>
      <c r="V3" s="15"/>
      <c r="W3" s="9"/>
      <c r="X3" s="333"/>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33"/>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35" t="s">
        <v>483</v>
      </c>
      <c r="D5" s="333"/>
      <c r="E5" s="333"/>
      <c r="F5" s="333"/>
      <c r="G5" s="333"/>
      <c r="H5" s="333"/>
      <c r="I5" s="336" t="s">
        <v>484</v>
      </c>
      <c r="J5" s="333"/>
      <c r="K5" s="333"/>
      <c r="L5" s="333"/>
      <c r="M5" s="333"/>
      <c r="N5" s="333"/>
      <c r="O5" s="333"/>
      <c r="P5" s="333"/>
      <c r="Q5" s="333"/>
      <c r="R5" s="333"/>
      <c r="S5" s="30"/>
      <c r="T5" s="27" t="s">
        <v>485</v>
      </c>
      <c r="U5" s="24"/>
      <c r="V5" s="15"/>
      <c r="W5" s="9"/>
      <c r="X5" s="333"/>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33"/>
      <c r="Y6" s="96"/>
      <c r="Z6" s="97"/>
      <c r="AA6" s="98"/>
      <c r="AB6" s="98"/>
      <c r="AC6" s="98"/>
      <c r="AD6" s="98"/>
      <c r="AE6" s="98"/>
      <c r="AF6" s="99"/>
      <c r="AG6" s="9"/>
      <c r="AH6" s="9"/>
      <c r="AI6" s="9"/>
      <c r="AJ6" s="9"/>
      <c r="AK6" s="9"/>
      <c r="AL6" s="9"/>
      <c r="AM6" s="9"/>
      <c r="AN6" s="9"/>
      <c r="AO6" s="9"/>
      <c r="AP6" s="9"/>
      <c r="AQ6" s="9"/>
      <c r="AR6" s="9"/>
      <c r="AS6" s="9"/>
      <c r="AT6" s="9"/>
      <c r="AU6" s="9"/>
    </row>
    <row r="7" spans="1:47" ht="15.5" x14ac:dyDescent="0.35">
      <c r="B7" s="9"/>
      <c r="C7" s="19"/>
      <c r="D7" s="15"/>
      <c r="E7" s="15"/>
      <c r="F7" s="15"/>
      <c r="G7" s="15"/>
      <c r="H7" s="15"/>
      <c r="I7" s="37"/>
      <c r="J7" s="37"/>
      <c r="K7" s="37"/>
      <c r="L7" s="37"/>
      <c r="M7" s="37"/>
      <c r="N7" s="37"/>
      <c r="O7" s="37"/>
      <c r="P7" s="37"/>
      <c r="Q7" s="38"/>
      <c r="R7" s="37"/>
      <c r="S7" s="19"/>
      <c r="T7" s="9"/>
      <c r="U7" s="36" t="s">
        <v>488</v>
      </c>
      <c r="V7" s="15"/>
      <c r="W7" s="9"/>
      <c r="X7" s="333"/>
      <c r="Y7" s="337" t="s">
        <v>489</v>
      </c>
      <c r="Z7" s="333"/>
      <c r="AA7" s="333"/>
      <c r="AB7" s="333"/>
      <c r="AC7" s="333"/>
      <c r="AD7" s="333"/>
      <c r="AE7" s="333"/>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33"/>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33"/>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33"/>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513</v>
      </c>
      <c r="D11" s="45" t="s">
        <v>513</v>
      </c>
      <c r="E11" s="45" t="s">
        <v>513</v>
      </c>
      <c r="F11" s="45" t="s">
        <v>513</v>
      </c>
      <c r="G11" s="45" t="s">
        <v>513</v>
      </c>
      <c r="H11" s="45" t="s">
        <v>513</v>
      </c>
      <c r="I11" s="45" t="s">
        <v>513</v>
      </c>
      <c r="J11" s="45" t="s">
        <v>513</v>
      </c>
      <c r="K11" s="45" t="s">
        <v>513</v>
      </c>
      <c r="L11" s="45" t="s">
        <v>513</v>
      </c>
      <c r="M11" s="45" t="s">
        <v>513</v>
      </c>
      <c r="N11" s="45" t="s">
        <v>513</v>
      </c>
      <c r="O11" s="45" t="s">
        <v>513</v>
      </c>
      <c r="P11" s="45" t="s">
        <v>513</v>
      </c>
      <c r="Q11" s="46" t="s">
        <v>514</v>
      </c>
      <c r="R11" s="46" t="s">
        <v>514</v>
      </c>
      <c r="S11" s="15"/>
      <c r="T11" s="9"/>
      <c r="U11" s="24"/>
      <c r="V11" s="15"/>
      <c r="W11" s="9"/>
      <c r="X11" s="338"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33"/>
      <c r="Y12" s="105"/>
      <c r="Z12" s="151" t="e">
        <f>+#REF!</f>
        <v>#REF!</v>
      </c>
      <c r="AA12" s="119" t="s">
        <v>516</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152" t="s">
        <v>518</v>
      </c>
      <c r="D13" s="51"/>
      <c r="E13" s="51"/>
      <c r="F13" s="51"/>
      <c r="G13" s="51"/>
      <c r="H13" s="51"/>
      <c r="I13" s="51"/>
      <c r="J13" s="51"/>
      <c r="K13" s="51"/>
      <c r="L13" s="51"/>
      <c r="M13" s="51"/>
      <c r="N13" s="51">
        <v>1500000</v>
      </c>
      <c r="O13" s="51">
        <v>5000000</v>
      </c>
      <c r="P13" s="51">
        <v>5000000</v>
      </c>
      <c r="Q13" s="51"/>
      <c r="R13" s="52">
        <v>0</v>
      </c>
      <c r="S13" s="51"/>
      <c r="T13" s="53">
        <f>SUM(C13:S13)</f>
        <v>11500000</v>
      </c>
      <c r="U13" s="54">
        <v>4200000</v>
      </c>
      <c r="V13" s="53">
        <f>+T13+T18-T29-U13</f>
        <v>7300000</v>
      </c>
      <c r="W13" s="55"/>
      <c r="X13" s="333"/>
      <c r="Y13" s="106"/>
      <c r="Z13" s="122">
        <f>SUM(I13:R13)+SUM(I29:R29)</f>
        <v>11500000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t="s">
        <v>521</v>
      </c>
      <c r="D14" s="51"/>
      <c r="E14" s="51"/>
      <c r="F14" s="51"/>
      <c r="G14" s="51"/>
      <c r="H14" s="51"/>
      <c r="I14" s="51"/>
      <c r="J14" s="51"/>
      <c r="K14" s="51"/>
      <c r="L14" s="51"/>
      <c r="M14" s="51"/>
      <c r="N14" s="51"/>
      <c r="O14" s="51"/>
      <c r="P14" s="51"/>
      <c r="Q14" s="51"/>
      <c r="R14" s="57"/>
      <c r="S14" s="51"/>
      <c r="T14" s="58">
        <f>SUM(C14:S14)</f>
        <v>0</v>
      </c>
      <c r="U14" s="54">
        <v>1050</v>
      </c>
      <c r="V14" s="58">
        <f>U14-T14-T15-T27-T28-T30</f>
        <v>1050</v>
      </c>
      <c r="W14" s="59"/>
      <c r="X14" s="333"/>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52" t="s">
        <v>521</v>
      </c>
      <c r="D15" s="19"/>
      <c r="E15" s="19"/>
      <c r="F15" s="19"/>
      <c r="G15" s="19"/>
      <c r="H15" s="19"/>
      <c r="I15" s="19"/>
      <c r="J15" s="19"/>
      <c r="K15" s="19"/>
      <c r="L15" s="19"/>
      <c r="M15" s="19"/>
      <c r="N15" s="19"/>
      <c r="O15" s="19"/>
      <c r="P15" s="19"/>
      <c r="Q15" s="19"/>
      <c r="R15" s="62"/>
      <c r="S15" s="19"/>
      <c r="T15" s="63">
        <f>SUM(C15:S15)</f>
        <v>0</v>
      </c>
      <c r="U15" s="36"/>
      <c r="V15" s="19"/>
      <c r="W15" s="9"/>
      <c r="X15" s="333"/>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52" t="s">
        <v>521</v>
      </c>
      <c r="D16" s="19"/>
      <c r="E16" s="19"/>
      <c r="F16" s="19"/>
      <c r="G16" s="19"/>
      <c r="H16" s="19"/>
      <c r="I16" s="19"/>
      <c r="J16" s="19"/>
      <c r="K16" s="19"/>
      <c r="L16" s="19"/>
      <c r="M16" s="19"/>
      <c r="N16" s="19"/>
      <c r="O16" s="19"/>
      <c r="P16" s="19"/>
      <c r="Q16" s="19"/>
      <c r="R16" s="62"/>
      <c r="S16" s="19"/>
      <c r="T16" s="19"/>
      <c r="U16" s="36"/>
      <c r="V16" s="19"/>
      <c r="W16" s="9"/>
      <c r="X16" s="333"/>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52" t="s">
        <v>521</v>
      </c>
      <c r="D17" s="19"/>
      <c r="E17" s="19"/>
      <c r="F17" s="19"/>
      <c r="G17" s="19"/>
      <c r="H17" s="19"/>
      <c r="I17" s="19"/>
      <c r="J17" s="19"/>
      <c r="K17" s="19"/>
      <c r="L17" s="19"/>
      <c r="M17" s="19"/>
      <c r="N17" s="19"/>
      <c r="O17" s="19"/>
      <c r="P17" s="19"/>
      <c r="Q17" s="19"/>
      <c r="R17" s="62"/>
      <c r="S17" s="19"/>
      <c r="T17" s="19">
        <f>SUM(C17:S17)</f>
        <v>0</v>
      </c>
      <c r="U17" s="36">
        <v>50000</v>
      </c>
      <c r="V17" s="19">
        <f>+U17-T17</f>
        <v>50000</v>
      </c>
      <c r="W17" s="9"/>
      <c r="X17" s="333"/>
      <c r="Y17" s="112" t="s">
        <v>529</v>
      </c>
      <c r="AA17" s="91" t="s">
        <v>530</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33"/>
      <c r="Y18" s="112" t="s">
        <v>532</v>
      </c>
      <c r="AA18" s="91" t="s">
        <v>533</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33"/>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33"/>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1500000</v>
      </c>
      <c r="O21" s="65">
        <f t="shared" si="1"/>
        <v>5000000</v>
      </c>
      <c r="P21" s="65">
        <f t="shared" si="1"/>
        <v>5000000</v>
      </c>
      <c r="Q21" s="65">
        <f t="shared" si="1"/>
        <v>0</v>
      </c>
      <c r="R21" s="65">
        <f t="shared" si="1"/>
        <v>0</v>
      </c>
      <c r="S21" s="65">
        <f t="shared" si="1"/>
        <v>0</v>
      </c>
      <c r="T21" s="65">
        <f t="shared" si="1"/>
        <v>11500000</v>
      </c>
      <c r="U21" s="66">
        <f t="shared" si="1"/>
        <v>4251050</v>
      </c>
      <c r="V21" s="65">
        <f t="shared" si="1"/>
        <v>7351050</v>
      </c>
      <c r="W21" s="9"/>
      <c r="X21" s="333"/>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33"/>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52" t="s">
        <v>521</v>
      </c>
      <c r="D23" s="19"/>
      <c r="E23" s="19"/>
      <c r="F23" s="19"/>
      <c r="G23" s="19"/>
      <c r="H23" s="19"/>
      <c r="I23" s="19"/>
      <c r="J23" s="19"/>
      <c r="K23" s="19"/>
      <c r="L23" s="19"/>
      <c r="M23" s="19"/>
      <c r="N23" s="19"/>
      <c r="O23" s="19"/>
      <c r="P23" s="19"/>
      <c r="Q23" s="19"/>
      <c r="R23" s="69"/>
      <c r="S23" s="19"/>
      <c r="T23" s="70">
        <f t="shared" ref="T23:T30" si="2">SUM(C23:S23)</f>
        <v>0</v>
      </c>
      <c r="U23" s="36">
        <v>-2200</v>
      </c>
      <c r="V23" s="70">
        <f>U23-T23-T24-T25-T26</f>
        <v>-2200</v>
      </c>
      <c r="W23" s="71"/>
      <c r="X23" s="333"/>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52" t="s">
        <v>521</v>
      </c>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52" t="s">
        <v>521</v>
      </c>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52" t="s">
        <v>521</v>
      </c>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52" t="s">
        <v>521</v>
      </c>
      <c r="D27" s="19"/>
      <c r="E27" s="19"/>
      <c r="F27" s="19"/>
      <c r="G27" s="19"/>
      <c r="H27" s="19"/>
      <c r="I27" s="19"/>
      <c r="J27" s="19"/>
      <c r="K27" s="19"/>
      <c r="L27" s="19"/>
      <c r="M27" s="19"/>
      <c r="N27" s="19"/>
      <c r="O27" s="19"/>
      <c r="P27" s="19"/>
      <c r="Q27" s="19"/>
      <c r="R27" s="62"/>
      <c r="S27" s="19"/>
      <c r="T27" s="63">
        <f t="shared" si="2"/>
        <v>0</v>
      </c>
      <c r="U27" s="36"/>
      <c r="V27" s="19"/>
      <c r="W27" s="9"/>
      <c r="X27" s="339"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52" t="s">
        <v>521</v>
      </c>
      <c r="D28" s="19"/>
      <c r="E28" s="19"/>
      <c r="F28" s="19"/>
      <c r="G28" s="19"/>
      <c r="H28" s="19"/>
      <c r="I28" s="19"/>
      <c r="J28" s="19"/>
      <c r="K28" s="19"/>
      <c r="L28" s="19"/>
      <c r="M28" s="19"/>
      <c r="N28" s="19"/>
      <c r="O28" s="19"/>
      <c r="P28" s="19"/>
      <c r="Q28" s="19"/>
      <c r="R28" s="62"/>
      <c r="S28" s="19"/>
      <c r="T28" s="63">
        <f t="shared" si="2"/>
        <v>0</v>
      </c>
      <c r="U28" s="36"/>
      <c r="V28" s="19"/>
      <c r="W28" s="9"/>
      <c r="X28" s="333"/>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35">
      <c r="A29" s="48" t="s">
        <v>547</v>
      </c>
      <c r="B29" s="76">
        <v>1110</v>
      </c>
      <c r="C29" s="14" t="s">
        <v>518</v>
      </c>
      <c r="D29" s="51"/>
      <c r="E29" s="51"/>
      <c r="F29" s="51"/>
      <c r="G29" s="51"/>
      <c r="H29" s="51"/>
      <c r="I29" s="51"/>
      <c r="J29" s="51"/>
      <c r="K29" s="51"/>
      <c r="L29" s="51"/>
      <c r="M29" s="51"/>
      <c r="N29" s="51"/>
      <c r="O29" s="51"/>
      <c r="P29" s="51"/>
      <c r="Q29" s="51"/>
      <c r="R29" s="52"/>
      <c r="S29" s="51"/>
      <c r="T29" s="53">
        <f t="shared" si="2"/>
        <v>0</v>
      </c>
      <c r="U29" s="54"/>
      <c r="V29" s="51"/>
      <c r="W29" s="77"/>
      <c r="X29" s="333"/>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52" t="s">
        <v>521</v>
      </c>
      <c r="D30" s="19"/>
      <c r="E30" s="19"/>
      <c r="F30" s="19"/>
      <c r="G30" s="19"/>
      <c r="H30" s="19"/>
      <c r="I30" s="19"/>
      <c r="J30" s="19"/>
      <c r="K30" s="19"/>
      <c r="L30" s="19"/>
      <c r="M30" s="19"/>
      <c r="N30" s="19"/>
      <c r="O30" s="19"/>
      <c r="P30" s="19"/>
      <c r="Q30" s="19"/>
      <c r="R30" s="62"/>
      <c r="S30" s="19"/>
      <c r="T30" s="63">
        <f t="shared" si="2"/>
        <v>0</v>
      </c>
      <c r="U30" s="36"/>
      <c r="V30" s="19"/>
      <c r="W30" s="9"/>
      <c r="X30" s="333"/>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32" t="s">
        <v>549</v>
      </c>
      <c r="B31" s="333"/>
      <c r="C31" s="13"/>
      <c r="D31" s="19"/>
      <c r="E31" s="19"/>
      <c r="F31" s="19"/>
      <c r="G31" s="19"/>
      <c r="H31" s="19"/>
      <c r="I31" s="19"/>
      <c r="J31" s="19"/>
      <c r="K31" s="19"/>
      <c r="L31" s="19"/>
      <c r="M31" s="19"/>
      <c r="N31" s="19"/>
      <c r="O31" s="19"/>
      <c r="P31" s="19"/>
      <c r="Q31" s="19"/>
      <c r="R31" s="62"/>
      <c r="S31" s="19"/>
      <c r="T31" s="19"/>
      <c r="U31" s="36"/>
      <c r="V31" s="19"/>
      <c r="W31" s="9"/>
      <c r="X31" s="333"/>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25">
      <c r="A32" s="79" t="s">
        <v>550</v>
      </c>
      <c r="B32" s="80" t="s">
        <v>551</v>
      </c>
      <c r="C32" s="52" t="s">
        <v>521</v>
      </c>
      <c r="D32" s="50"/>
      <c r="E32" s="50"/>
      <c r="F32" s="50"/>
      <c r="G32" s="50"/>
      <c r="H32" s="50"/>
      <c r="I32" s="50"/>
      <c r="J32" s="50"/>
      <c r="K32" s="50"/>
      <c r="L32" s="50"/>
      <c r="M32" s="50"/>
      <c r="N32" s="50"/>
      <c r="O32" s="50"/>
      <c r="P32" s="50"/>
      <c r="Q32" s="50"/>
      <c r="R32" s="81"/>
      <c r="S32" s="50"/>
      <c r="T32" s="82">
        <f>SUM(C32:S32)</f>
        <v>0</v>
      </c>
      <c r="U32" s="83">
        <v>-100</v>
      </c>
      <c r="V32" s="82">
        <f>+U32-T32</f>
        <v>-100</v>
      </c>
      <c r="W32" s="80"/>
      <c r="X32" s="333"/>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33"/>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-2300</v>
      </c>
      <c r="V34" s="65">
        <f t="shared" si="3"/>
        <v>-2300</v>
      </c>
      <c r="W34" s="8"/>
      <c r="X34" s="333"/>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5.5" x14ac:dyDescent="0.35">
      <c r="A35" s="9"/>
      <c r="B35" s="9"/>
      <c r="C35" s="19"/>
      <c r="D35" s="19"/>
      <c r="E35" s="19"/>
      <c r="F35" s="19"/>
      <c r="G35" s="19"/>
      <c r="H35" s="19"/>
      <c r="I35" s="19"/>
      <c r="J35" s="19"/>
      <c r="K35" s="19"/>
      <c r="L35" s="19"/>
      <c r="M35" s="19"/>
      <c r="N35" s="19"/>
      <c r="O35" s="19"/>
      <c r="P35" s="19"/>
      <c r="Q35" s="19"/>
      <c r="R35" s="19"/>
      <c r="S35" s="19"/>
      <c r="T35" s="19"/>
      <c r="U35" s="36"/>
      <c r="V35" s="19"/>
      <c r="W35" s="9"/>
      <c r="X35" s="333"/>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2" customHeight="1"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1500000</v>
      </c>
      <c r="O36" s="65">
        <f t="shared" si="4"/>
        <v>5000000</v>
      </c>
      <c r="P36" s="65">
        <f t="shared" si="4"/>
        <v>5000000</v>
      </c>
      <c r="Q36" s="65">
        <f t="shared" si="4"/>
        <v>0</v>
      </c>
      <c r="R36" s="65">
        <f t="shared" si="4"/>
        <v>0</v>
      </c>
      <c r="S36" s="65">
        <f t="shared" si="4"/>
        <v>0</v>
      </c>
      <c r="T36" s="65">
        <f t="shared" si="4"/>
        <v>11500000</v>
      </c>
      <c r="U36" s="66">
        <f t="shared" si="4"/>
        <v>4248750</v>
      </c>
      <c r="V36" s="65">
        <f>U36-T36</f>
        <v>-7251250</v>
      </c>
      <c r="W36" s="8"/>
      <c r="X36" s="333"/>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33"/>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8" customHeight="1" x14ac:dyDescent="0.35">
      <c r="A40" s="90" t="s">
        <v>554</v>
      </c>
      <c r="B40" s="90"/>
      <c r="C40" s="19"/>
      <c r="D40" s="15"/>
      <c r="E40" s="15"/>
      <c r="F40" s="15"/>
      <c r="G40" s="15"/>
      <c r="H40" s="15"/>
      <c r="I40" s="15"/>
      <c r="J40" s="15"/>
      <c r="K40" s="15"/>
      <c r="L40" s="15"/>
      <c r="M40" s="15"/>
      <c r="N40" s="15"/>
      <c r="O40" s="15"/>
      <c r="P40" s="15"/>
      <c r="Q40" s="19"/>
      <c r="R40" s="15"/>
      <c r="S40" s="15"/>
      <c r="T40" s="9"/>
      <c r="U40" s="15"/>
      <c r="V40" s="15"/>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21.65" customHeight="1" x14ac:dyDescent="0.35">
      <c r="A41" s="9" t="s">
        <v>555</v>
      </c>
      <c r="B41" s="9"/>
      <c r="C41" s="19"/>
      <c r="D41" s="15"/>
      <c r="E41" s="15"/>
      <c r="F41" s="15"/>
      <c r="G41" s="15"/>
      <c r="H41" s="15"/>
      <c r="I41" s="15"/>
      <c r="J41" s="15"/>
      <c r="K41" s="15"/>
      <c r="L41" s="15"/>
      <c r="M41" s="15"/>
      <c r="N41" s="15"/>
      <c r="O41" s="15"/>
      <c r="P41" s="15"/>
      <c r="Q41" s="19"/>
      <c r="R41" s="15"/>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5" customHeight="1" x14ac:dyDescent="0.35">
      <c r="A42" s="9"/>
      <c r="B42" s="61" t="s">
        <v>556</v>
      </c>
      <c r="C42" s="19" t="str">
        <f t="shared" ref="C42:T42" si="5">C17</f>
        <v>Item Booked in Current Year</v>
      </c>
      <c r="D42" s="19">
        <f t="shared" si="5"/>
        <v>0</v>
      </c>
      <c r="E42" s="19">
        <f t="shared" si="5"/>
        <v>0</v>
      </c>
      <c r="F42" s="19">
        <f t="shared" si="5"/>
        <v>0</v>
      </c>
      <c r="G42" s="19">
        <f t="shared" si="5"/>
        <v>0</v>
      </c>
      <c r="H42" s="19">
        <f t="shared" si="5"/>
        <v>0</v>
      </c>
      <c r="I42" s="19">
        <f t="shared" si="5"/>
        <v>0</v>
      </c>
      <c r="J42" s="19">
        <f t="shared" si="5"/>
        <v>0</v>
      </c>
      <c r="K42" s="19">
        <f t="shared" si="5"/>
        <v>0</v>
      </c>
      <c r="L42" s="19">
        <f t="shared" si="5"/>
        <v>0</v>
      </c>
      <c r="M42" s="19">
        <f t="shared" si="5"/>
        <v>0</v>
      </c>
      <c r="N42" s="19">
        <f t="shared" si="5"/>
        <v>0</v>
      </c>
      <c r="O42" s="19">
        <f t="shared" si="5"/>
        <v>0</v>
      </c>
      <c r="P42" s="19">
        <f t="shared" si="5"/>
        <v>0</v>
      </c>
      <c r="Q42" s="19">
        <f t="shared" si="5"/>
        <v>0</v>
      </c>
      <c r="R42" s="19">
        <f t="shared" si="5"/>
        <v>0</v>
      </c>
      <c r="S42" s="19">
        <f t="shared" si="5"/>
        <v>0</v>
      </c>
      <c r="T42" s="19">
        <f t="shared" si="5"/>
        <v>0</v>
      </c>
      <c r="U42" s="15"/>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5" customHeight="1" x14ac:dyDescent="0.35">
      <c r="A43" s="9"/>
      <c r="B43" s="61" t="s">
        <v>557</v>
      </c>
      <c r="C43" s="19">
        <v>50000</v>
      </c>
      <c r="D43" s="15">
        <f>C43*1.01</f>
        <v>50500</v>
      </c>
      <c r="E43" s="19">
        <f>C43*1.01</f>
        <v>50500</v>
      </c>
      <c r="F43" s="15">
        <v>55000</v>
      </c>
      <c r="G43" s="15">
        <v>55000</v>
      </c>
      <c r="H43" s="15">
        <v>55000</v>
      </c>
      <c r="I43" s="15">
        <v>57500</v>
      </c>
      <c r="J43" s="15">
        <v>40000</v>
      </c>
      <c r="K43" s="15">
        <v>0</v>
      </c>
      <c r="L43" s="15">
        <v>65000</v>
      </c>
      <c r="M43" s="15">
        <v>62500</v>
      </c>
      <c r="N43" s="15">
        <v>0</v>
      </c>
      <c r="O43" s="15">
        <v>65000</v>
      </c>
      <c r="P43" s="15">
        <v>0</v>
      </c>
      <c r="Q43" s="19">
        <v>65000</v>
      </c>
      <c r="R43" s="15">
        <v>0</v>
      </c>
      <c r="S43" s="15"/>
      <c r="T43" s="15">
        <f>SUM(C43:S43)</f>
        <v>671000</v>
      </c>
      <c r="U43" s="15"/>
      <c r="V43" s="15"/>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5" customHeight="1" x14ac:dyDescent="0.35">
      <c r="A44" s="9"/>
      <c r="B44" s="61" t="s">
        <v>558</v>
      </c>
      <c r="C44" s="19">
        <v>45000</v>
      </c>
      <c r="D44" s="15">
        <f>C44*1.02</f>
        <v>45900</v>
      </c>
      <c r="E44" s="19">
        <f>C44*1.01</f>
        <v>45450</v>
      </c>
      <c r="F44" s="15">
        <v>53500</v>
      </c>
      <c r="G44" s="15">
        <v>53500</v>
      </c>
      <c r="H44" s="15">
        <v>55000</v>
      </c>
      <c r="I44" s="15">
        <v>52500</v>
      </c>
      <c r="J44" s="15">
        <v>40000</v>
      </c>
      <c r="K44" s="15">
        <v>0</v>
      </c>
      <c r="L44" s="15">
        <v>60000</v>
      </c>
      <c r="M44" s="15">
        <v>57500</v>
      </c>
      <c r="N44" s="15"/>
      <c r="O44" s="15">
        <v>67500</v>
      </c>
      <c r="P44" s="15">
        <v>0</v>
      </c>
      <c r="Q44" s="19">
        <v>62500</v>
      </c>
      <c r="R44" s="15">
        <v>0</v>
      </c>
      <c r="S44" s="15"/>
      <c r="T44" s="15">
        <f>SUM(C44:S44)</f>
        <v>638350</v>
      </c>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9"/>
      <c r="C45" s="19"/>
      <c r="D45" s="15"/>
      <c r="E45" s="15"/>
      <c r="F45" s="15"/>
      <c r="G45" s="15"/>
      <c r="H45" s="15"/>
      <c r="I45" s="15"/>
      <c r="J45" s="15"/>
      <c r="K45" s="15"/>
      <c r="L45" s="15"/>
      <c r="M45" s="15"/>
      <c r="N45" s="15"/>
      <c r="O45" s="15"/>
      <c r="P45" s="15"/>
      <c r="Q45" s="19"/>
      <c r="R45" s="15"/>
      <c r="S45" s="15"/>
      <c r="T45" s="15"/>
      <c r="U45" s="15"/>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23"/>
      <c r="E46" s="23"/>
      <c r="F46" s="23"/>
      <c r="G46" s="23"/>
      <c r="H46" s="23"/>
      <c r="I46" s="23"/>
      <c r="J46" s="23"/>
      <c r="K46" s="23"/>
      <c r="L46" s="23"/>
      <c r="M46" s="23"/>
      <c r="N46" s="23"/>
      <c r="O46" s="23"/>
      <c r="P46" s="23"/>
      <c r="Q46" s="23"/>
      <c r="R46" s="23"/>
      <c r="S46" s="15"/>
      <c r="T46" s="9"/>
      <c r="U46" s="15"/>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15"/>
      <c r="E47" s="23"/>
      <c r="F47" s="23"/>
      <c r="G47" s="23"/>
      <c r="H47" s="23"/>
      <c r="I47" s="23"/>
      <c r="J47" s="23"/>
      <c r="K47" s="23"/>
      <c r="L47" s="23"/>
      <c r="M47" s="23"/>
      <c r="N47" s="23"/>
      <c r="O47" s="23"/>
      <c r="P47" s="23"/>
      <c r="Q47" s="23"/>
      <c r="R47" s="23"/>
      <c r="S47" s="15"/>
      <c r="T47" s="9"/>
      <c r="U47" s="15"/>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61"/>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87"/>
      <c r="E49" s="87"/>
      <c r="F49" s="87"/>
      <c r="G49" s="87"/>
      <c r="H49" s="87"/>
      <c r="I49" s="87"/>
      <c r="J49" s="87"/>
      <c r="K49" s="87"/>
      <c r="L49" s="87"/>
      <c r="M49" s="87"/>
      <c r="N49" s="87"/>
      <c r="O49" s="87"/>
      <c r="P49" s="87"/>
      <c r="Q49" s="87"/>
      <c r="R49" s="87"/>
      <c r="S49" s="15"/>
      <c r="T49" s="87"/>
      <c r="U49" s="23"/>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87"/>
      <c r="E50" s="87"/>
      <c r="F50" s="87"/>
      <c r="G50" s="87"/>
      <c r="H50" s="87"/>
      <c r="I50" s="87"/>
      <c r="J50" s="87"/>
      <c r="K50" s="87"/>
      <c r="L50" s="87"/>
      <c r="M50" s="87"/>
      <c r="N50" s="87"/>
      <c r="O50" s="87"/>
      <c r="P50" s="87"/>
      <c r="Q50" s="87"/>
      <c r="R50" s="87"/>
      <c r="S50" s="15"/>
      <c r="T50" s="87"/>
      <c r="U50" s="23"/>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61"/>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9"/>
      <c r="C52" s="19"/>
      <c r="D52" s="87"/>
      <c r="E52" s="87"/>
      <c r="F52" s="87"/>
      <c r="G52" s="87"/>
      <c r="H52" s="87"/>
      <c r="I52" s="87"/>
      <c r="J52" s="87"/>
      <c r="K52" s="87"/>
      <c r="L52" s="87"/>
      <c r="M52" s="87"/>
      <c r="N52" s="87"/>
      <c r="O52" s="87"/>
      <c r="P52" s="87"/>
      <c r="Q52" s="87"/>
      <c r="R52" s="87"/>
      <c r="S52" s="15"/>
      <c r="T52" s="87"/>
      <c r="U52" s="23"/>
      <c r="V52" s="22"/>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9"/>
      <c r="C53" s="87"/>
      <c r="D53" s="87"/>
      <c r="E53" s="87"/>
      <c r="F53" s="87"/>
      <c r="G53" s="87"/>
      <c r="H53" s="87"/>
      <c r="I53" s="87"/>
      <c r="J53" s="87"/>
      <c r="K53" s="87"/>
      <c r="L53" s="87"/>
      <c r="M53" s="87"/>
      <c r="N53" s="87"/>
      <c r="O53" s="87"/>
      <c r="P53" s="87"/>
      <c r="Q53" s="87"/>
      <c r="R53" s="87"/>
      <c r="S53" s="15"/>
      <c r="T53" s="15"/>
      <c r="U53" s="23"/>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15"/>
      <c r="U54" s="23"/>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23"/>
      <c r="E55" s="23"/>
      <c r="F55" s="23"/>
      <c r="G55" s="23"/>
      <c r="H55" s="23"/>
      <c r="I55" s="23"/>
      <c r="J55" s="23"/>
      <c r="K55" s="23"/>
      <c r="L55" s="23"/>
      <c r="M55" s="23"/>
      <c r="N55" s="23"/>
      <c r="O55" s="23"/>
      <c r="P55" s="23"/>
      <c r="Q55" s="23"/>
      <c r="R55" s="23"/>
      <c r="S55" s="15"/>
      <c r="T55" s="9"/>
      <c r="U55" s="15"/>
      <c r="V55" s="22"/>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87"/>
      <c r="D56" s="15"/>
      <c r="E56" s="23"/>
      <c r="F56" s="23"/>
      <c r="G56" s="23"/>
      <c r="H56" s="23"/>
      <c r="I56" s="23"/>
      <c r="J56" s="23"/>
      <c r="K56" s="23"/>
      <c r="L56" s="23"/>
      <c r="M56" s="23"/>
      <c r="N56" s="23"/>
      <c r="O56" s="23"/>
      <c r="P56" s="23"/>
      <c r="Q56" s="23"/>
      <c r="R56" s="23"/>
      <c r="S56" s="15"/>
      <c r="T56" s="22"/>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15"/>
      <c r="U57" s="23"/>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15"/>
      <c r="C58" s="23"/>
      <c r="D58" s="23"/>
      <c r="E58" s="23"/>
      <c r="F58" s="23"/>
      <c r="G58" s="23"/>
      <c r="H58" s="23"/>
      <c r="I58" s="23"/>
      <c r="J58" s="23"/>
      <c r="K58" s="23"/>
      <c r="L58" s="23"/>
      <c r="M58" s="23"/>
      <c r="N58" s="23"/>
      <c r="O58" s="23"/>
      <c r="P58" s="23"/>
      <c r="Q58" s="23"/>
      <c r="R58" s="23"/>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87"/>
      <c r="C59" s="39"/>
      <c r="D59" s="23"/>
      <c r="E59" s="23"/>
      <c r="F59" s="23"/>
      <c r="G59" s="23"/>
      <c r="H59" s="23"/>
      <c r="I59" s="23"/>
      <c r="J59" s="23"/>
      <c r="K59" s="23"/>
      <c r="L59" s="23"/>
      <c r="M59" s="23"/>
      <c r="N59" s="23"/>
      <c r="O59" s="23"/>
      <c r="P59" s="23"/>
      <c r="Q59" s="23"/>
      <c r="R59" s="23"/>
      <c r="S59" s="15"/>
      <c r="T59" s="22"/>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91"/>
      <c r="N61" s="15"/>
      <c r="O61" s="15"/>
      <c r="P61" s="15"/>
      <c r="Q61" s="19"/>
      <c r="R61" s="15"/>
      <c r="S61" s="15"/>
      <c r="T61" s="92"/>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15"/>
      <c r="F62" s="15"/>
      <c r="G62" s="15"/>
      <c r="H62" s="15"/>
      <c r="I62" s="15"/>
      <c r="J62" s="15"/>
      <c r="K62" s="15"/>
      <c r="L62" s="15"/>
      <c r="M62" s="15"/>
      <c r="N62" s="15"/>
      <c r="O62" s="15"/>
      <c r="P62" s="15"/>
      <c r="Q62" s="19"/>
      <c r="R62" s="93"/>
      <c r="S62" s="15"/>
      <c r="T62" s="15"/>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94"/>
      <c r="F68" s="94"/>
      <c r="G68" s="94"/>
      <c r="H68" s="94"/>
      <c r="I68" s="94"/>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89"/>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89"/>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89"/>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89"/>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89"/>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89"/>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row r="994" spans="1:47" ht="12" customHeight="1" x14ac:dyDescent="0.35">
      <c r="A994" s="9"/>
      <c r="B994" s="9"/>
      <c r="C994" s="19"/>
      <c r="D994" s="15"/>
      <c r="E994" s="15"/>
      <c r="F994" s="15"/>
      <c r="G994" s="15"/>
      <c r="H994" s="15"/>
      <c r="I994" s="15"/>
      <c r="J994" s="15"/>
      <c r="K994" s="15"/>
      <c r="L994" s="15"/>
      <c r="M994" s="15"/>
      <c r="N994" s="15"/>
      <c r="O994" s="15"/>
      <c r="P994" s="15"/>
      <c r="Q994" s="19"/>
      <c r="R994" s="15"/>
      <c r="S994" s="15"/>
      <c r="T994" s="9"/>
      <c r="U994" s="15"/>
      <c r="V994" s="15"/>
      <c r="W994" s="9"/>
      <c r="X994" s="95"/>
      <c r="Y994" s="9"/>
      <c r="Z994" s="16"/>
      <c r="AA994" s="9"/>
      <c r="AB994" s="9"/>
      <c r="AC994" s="9"/>
      <c r="AD994" s="9"/>
      <c r="AE994" s="9"/>
      <c r="AF994" s="9"/>
      <c r="AG994" s="9"/>
      <c r="AH994" s="9"/>
      <c r="AI994" s="9"/>
      <c r="AJ994" s="9"/>
      <c r="AK994" s="9"/>
      <c r="AL994" s="9"/>
      <c r="AM994" s="9"/>
      <c r="AN994" s="9"/>
      <c r="AO994" s="9"/>
      <c r="AP994" s="9"/>
      <c r="AQ994" s="9"/>
      <c r="AR994" s="9"/>
      <c r="AS994" s="9"/>
      <c r="AT994" s="9"/>
      <c r="AU994" s="9"/>
    </row>
    <row r="995" spans="1:47" ht="12" customHeight="1" x14ac:dyDescent="0.35">
      <c r="A995" s="9"/>
      <c r="B995" s="9"/>
      <c r="C995" s="19"/>
      <c r="D995" s="15"/>
      <c r="E995" s="15"/>
      <c r="F995" s="15"/>
      <c r="G995" s="15"/>
      <c r="H995" s="15"/>
      <c r="I995" s="15"/>
      <c r="J995" s="15"/>
      <c r="K995" s="15"/>
      <c r="L995" s="15"/>
      <c r="M995" s="15"/>
      <c r="N995" s="15"/>
      <c r="O995" s="15"/>
      <c r="P995" s="15"/>
      <c r="Q995" s="19"/>
      <c r="R995" s="15"/>
      <c r="S995" s="15"/>
      <c r="T995" s="9"/>
      <c r="U995" s="15"/>
      <c r="V995" s="15"/>
      <c r="W995" s="9"/>
      <c r="X995" s="95"/>
      <c r="Y995" s="9"/>
      <c r="Z995" s="16"/>
      <c r="AA995" s="9"/>
      <c r="AB995" s="9"/>
      <c r="AC995" s="9"/>
      <c r="AD995" s="9"/>
      <c r="AE995" s="9"/>
      <c r="AF995" s="9"/>
      <c r="AG995" s="9"/>
      <c r="AH995" s="9"/>
      <c r="AI995" s="9"/>
      <c r="AJ995" s="9"/>
      <c r="AK995" s="9"/>
      <c r="AL995" s="9"/>
      <c r="AM995" s="9"/>
      <c r="AN995" s="9"/>
      <c r="AO995" s="9"/>
      <c r="AP995" s="9"/>
      <c r="AQ995" s="9"/>
      <c r="AR995" s="9"/>
      <c r="AS995" s="9"/>
      <c r="AT995" s="9"/>
      <c r="AU995" s="9"/>
    </row>
    <row r="996" spans="1:47" ht="12" customHeight="1" x14ac:dyDescent="0.35">
      <c r="A996" s="9"/>
      <c r="B996" s="9"/>
      <c r="C996" s="19"/>
      <c r="D996" s="15"/>
      <c r="E996" s="15"/>
      <c r="F996" s="15"/>
      <c r="G996" s="15"/>
      <c r="H996" s="15"/>
      <c r="I996" s="15"/>
      <c r="J996" s="15"/>
      <c r="K996" s="15"/>
      <c r="L996" s="15"/>
      <c r="M996" s="15"/>
      <c r="N996" s="15"/>
      <c r="O996" s="15"/>
      <c r="P996" s="15"/>
      <c r="Q996" s="19"/>
      <c r="R996" s="15"/>
      <c r="S996" s="15"/>
      <c r="T996" s="9"/>
      <c r="U996" s="15"/>
      <c r="V996" s="15"/>
      <c r="W996" s="9"/>
      <c r="X996" s="95"/>
      <c r="Y996" s="9"/>
      <c r="Z996" s="16"/>
      <c r="AA996" s="9"/>
      <c r="AB996" s="9"/>
      <c r="AC996" s="9"/>
      <c r="AD996" s="9"/>
      <c r="AE996" s="9"/>
      <c r="AF996" s="9"/>
      <c r="AG996" s="9"/>
      <c r="AH996" s="9"/>
      <c r="AI996" s="9"/>
      <c r="AJ996" s="9"/>
      <c r="AK996" s="9"/>
      <c r="AL996" s="9"/>
      <c r="AM996" s="9"/>
      <c r="AN996" s="9"/>
      <c r="AO996" s="9"/>
      <c r="AP996" s="9"/>
      <c r="AQ996" s="9"/>
      <c r="AR996" s="9"/>
      <c r="AS996" s="9"/>
      <c r="AT996" s="9"/>
      <c r="AU996" s="9"/>
    </row>
    <row r="997" spans="1:47" ht="12" customHeight="1" x14ac:dyDescent="0.35">
      <c r="A997" s="9"/>
      <c r="B997" s="9"/>
      <c r="C997" s="19"/>
      <c r="D997" s="15"/>
      <c r="E997" s="15"/>
      <c r="F997" s="15"/>
      <c r="G997" s="15"/>
      <c r="H997" s="15"/>
      <c r="I997" s="15"/>
      <c r="J997" s="15"/>
      <c r="K997" s="15"/>
      <c r="L997" s="15"/>
      <c r="M997" s="15"/>
      <c r="N997" s="15"/>
      <c r="O997" s="15"/>
      <c r="P997" s="15"/>
      <c r="Q997" s="19"/>
      <c r="R997" s="15"/>
      <c r="S997" s="15"/>
      <c r="T997" s="9"/>
      <c r="U997" s="15"/>
      <c r="V997" s="15"/>
      <c r="W997" s="9"/>
      <c r="X997" s="95"/>
      <c r="Y997" s="9"/>
      <c r="Z997" s="16"/>
      <c r="AA997" s="9"/>
      <c r="AB997" s="9"/>
      <c r="AC997" s="9"/>
      <c r="AD997" s="9"/>
      <c r="AE997" s="9"/>
      <c r="AF997" s="9"/>
      <c r="AG997" s="9"/>
      <c r="AH997" s="9"/>
      <c r="AI997" s="9"/>
      <c r="AJ997" s="9"/>
      <c r="AK997" s="9"/>
      <c r="AL997" s="9"/>
      <c r="AM997" s="9"/>
      <c r="AN997" s="9"/>
      <c r="AO997" s="9"/>
      <c r="AP997" s="9"/>
      <c r="AQ997" s="9"/>
      <c r="AR997" s="9"/>
      <c r="AS997" s="9"/>
      <c r="AT997" s="9"/>
      <c r="AU997" s="9"/>
    </row>
    <row r="998" spans="1:47" ht="12" customHeight="1" x14ac:dyDescent="0.35">
      <c r="A998" s="9"/>
      <c r="B998" s="9"/>
      <c r="C998" s="19"/>
      <c r="D998" s="15"/>
      <c r="E998" s="15"/>
      <c r="F998" s="15"/>
      <c r="G998" s="15"/>
      <c r="H998" s="15"/>
      <c r="I998" s="15"/>
      <c r="J998" s="15"/>
      <c r="K998" s="15"/>
      <c r="L998" s="15"/>
      <c r="M998" s="15"/>
      <c r="N998" s="15"/>
      <c r="O998" s="15"/>
      <c r="P998" s="15"/>
      <c r="Q998" s="19"/>
      <c r="R998" s="15"/>
      <c r="S998" s="15"/>
      <c r="T998" s="9"/>
      <c r="U998" s="15"/>
      <c r="V998" s="15"/>
      <c r="W998" s="9"/>
      <c r="X998" s="95"/>
      <c r="Y998" s="9"/>
      <c r="Z998" s="16"/>
      <c r="AA998" s="9"/>
      <c r="AB998" s="9"/>
      <c r="AC998" s="9"/>
      <c r="AD998" s="9"/>
      <c r="AE998" s="9"/>
      <c r="AF998" s="9"/>
      <c r="AG998" s="9"/>
      <c r="AH998" s="9"/>
      <c r="AI998" s="9"/>
      <c r="AJ998" s="9"/>
      <c r="AK998" s="9"/>
      <c r="AL998" s="9"/>
      <c r="AM998" s="9"/>
      <c r="AN998" s="9"/>
      <c r="AO998" s="9"/>
      <c r="AP998" s="9"/>
      <c r="AQ998" s="9"/>
      <c r="AR998" s="9"/>
      <c r="AS998" s="9"/>
      <c r="AT998" s="9"/>
      <c r="AU998" s="9"/>
    </row>
    <row r="999" spans="1:47" ht="12" customHeight="1" x14ac:dyDescent="0.35">
      <c r="A999" s="9"/>
      <c r="B999" s="9"/>
      <c r="C999" s="19"/>
      <c r="D999" s="15"/>
      <c r="E999" s="15"/>
      <c r="F999" s="15"/>
      <c r="G999" s="15"/>
      <c r="H999" s="15"/>
      <c r="I999" s="15"/>
      <c r="J999" s="15"/>
      <c r="K999" s="15"/>
      <c r="L999" s="15"/>
      <c r="M999" s="15"/>
      <c r="N999" s="15"/>
      <c r="O999" s="15"/>
      <c r="P999" s="15"/>
      <c r="Q999" s="19"/>
      <c r="R999" s="15"/>
      <c r="S999" s="15"/>
      <c r="T999" s="9"/>
      <c r="U999" s="15"/>
      <c r="V999" s="15"/>
      <c r="W999" s="9"/>
      <c r="X999" s="95"/>
      <c r="Y999" s="9"/>
      <c r="Z999" s="16"/>
      <c r="AA999" s="9"/>
      <c r="AB999" s="9"/>
      <c r="AC999" s="9"/>
      <c r="AD999" s="9"/>
      <c r="AE999" s="9"/>
      <c r="AF999" s="9"/>
      <c r="AG999" s="9"/>
      <c r="AH999" s="9"/>
      <c r="AI999" s="9"/>
      <c r="AJ999" s="9"/>
      <c r="AK999" s="9"/>
      <c r="AL999" s="9"/>
      <c r="AM999" s="9"/>
      <c r="AN999" s="9"/>
      <c r="AO999" s="9"/>
      <c r="AP999" s="9"/>
      <c r="AQ999" s="9"/>
      <c r="AR999" s="9"/>
      <c r="AS999" s="9"/>
      <c r="AT999" s="9"/>
      <c r="AU999"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B3A44-03B4-4A17-9401-A961EB62E2F9}">
  <sheetPr>
    <tabColor theme="9" tint="0.59999389629810485"/>
    <pageSetUpPr fitToPage="1"/>
  </sheetPr>
  <dimension ref="A1:AU993"/>
  <sheetViews>
    <sheetView topLeftCell="V20"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34"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33"/>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559</v>
      </c>
      <c r="B3" s="9"/>
      <c r="C3" s="20"/>
      <c r="D3" s="21"/>
      <c r="E3" s="15"/>
      <c r="F3" s="15"/>
      <c r="G3" s="15"/>
      <c r="H3" s="15"/>
      <c r="I3" s="22"/>
      <c r="J3" s="22"/>
      <c r="K3" s="22"/>
      <c r="L3" s="22"/>
      <c r="M3" s="22"/>
      <c r="N3" s="22"/>
      <c r="O3" s="22"/>
      <c r="P3" s="22"/>
      <c r="Q3" s="23"/>
      <c r="R3" s="22"/>
      <c r="S3" s="15"/>
      <c r="T3" s="22"/>
      <c r="U3" s="24"/>
      <c r="V3" s="15"/>
      <c r="W3" s="9"/>
      <c r="X3" s="333"/>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33"/>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35" t="s">
        <v>483</v>
      </c>
      <c r="D5" s="333"/>
      <c r="E5" s="333"/>
      <c r="F5" s="333"/>
      <c r="G5" s="333"/>
      <c r="H5" s="333"/>
      <c r="I5" s="336" t="s">
        <v>484</v>
      </c>
      <c r="J5" s="333"/>
      <c r="K5" s="333"/>
      <c r="L5" s="333"/>
      <c r="M5" s="333"/>
      <c r="N5" s="333"/>
      <c r="O5" s="333"/>
      <c r="P5" s="333"/>
      <c r="Q5" s="333"/>
      <c r="R5" s="333"/>
      <c r="S5" s="30"/>
      <c r="T5" s="27" t="s">
        <v>485</v>
      </c>
      <c r="U5" s="24"/>
      <c r="V5" s="15"/>
      <c r="W5" s="9"/>
      <c r="X5" s="333"/>
      <c r="Y5" s="9"/>
      <c r="Z5" s="16"/>
      <c r="AA5" s="9"/>
      <c r="AB5" s="9"/>
      <c r="AC5" s="9"/>
      <c r="AD5" s="9"/>
      <c r="AE5" s="9"/>
      <c r="AF5" s="9"/>
      <c r="AG5" s="9"/>
      <c r="AH5" s="9"/>
      <c r="AI5" s="9"/>
      <c r="AJ5" s="9"/>
      <c r="AK5" s="9"/>
      <c r="AL5" s="9"/>
      <c r="AM5" s="9"/>
      <c r="AN5" s="9"/>
      <c r="AO5" s="9"/>
      <c r="AP5" s="9"/>
      <c r="AQ5" s="9"/>
      <c r="AR5" s="9"/>
      <c r="AS5" s="9"/>
      <c r="AT5" s="9"/>
      <c r="AU5" s="9"/>
    </row>
    <row r="6" spans="1:47" ht="29.5"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33"/>
      <c r="Y6" s="96"/>
      <c r="Z6" s="97"/>
      <c r="AA6" s="98"/>
      <c r="AB6" s="98"/>
      <c r="AC6" s="98"/>
      <c r="AD6" s="98"/>
      <c r="AE6" s="98"/>
      <c r="AF6" s="99"/>
      <c r="AG6" s="9"/>
      <c r="AH6" s="9"/>
      <c r="AI6" s="9"/>
      <c r="AJ6" s="9"/>
      <c r="AK6" s="9"/>
      <c r="AL6" s="9"/>
      <c r="AM6" s="9"/>
      <c r="AN6" s="9"/>
      <c r="AO6" s="9"/>
      <c r="AP6" s="9"/>
      <c r="AQ6" s="9"/>
      <c r="AR6" s="9"/>
      <c r="AS6" s="9"/>
      <c r="AT6" s="9"/>
      <c r="AU6" s="9"/>
    </row>
    <row r="7" spans="1:47" ht="15.5" x14ac:dyDescent="0.35">
      <c r="B7" s="9"/>
      <c r="C7" s="19"/>
      <c r="D7" s="15"/>
      <c r="E7" s="15"/>
      <c r="F7" s="15"/>
      <c r="G7" s="15"/>
      <c r="H7" s="15"/>
      <c r="I7" s="37"/>
      <c r="J7" s="37"/>
      <c r="K7" s="37"/>
      <c r="L7" s="37"/>
      <c r="M7" s="37"/>
      <c r="N7" s="37"/>
      <c r="O7" s="37"/>
      <c r="P7" s="37"/>
      <c r="Q7" s="38"/>
      <c r="R7" s="37"/>
      <c r="S7" s="19"/>
      <c r="T7" s="9"/>
      <c r="U7" s="36" t="s">
        <v>488</v>
      </c>
      <c r="V7" s="15"/>
      <c r="W7" s="9"/>
      <c r="X7" s="333"/>
      <c r="Y7" s="337" t="s">
        <v>489</v>
      </c>
      <c r="Z7" s="333"/>
      <c r="AA7" s="333"/>
      <c r="AB7" s="333"/>
      <c r="AC7" s="333"/>
      <c r="AD7" s="333"/>
      <c r="AE7" s="333"/>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33"/>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33"/>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33"/>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560</v>
      </c>
      <c r="D11" s="45" t="s">
        <v>560</v>
      </c>
      <c r="E11" s="45" t="s">
        <v>560</v>
      </c>
      <c r="F11" s="45" t="s">
        <v>560</v>
      </c>
      <c r="G11" s="45" t="s">
        <v>560</v>
      </c>
      <c r="H11" s="45" t="s">
        <v>560</v>
      </c>
      <c r="I11" s="45" t="s">
        <v>560</v>
      </c>
      <c r="J11" s="45" t="s">
        <v>560</v>
      </c>
      <c r="K11" s="45" t="s">
        <v>560</v>
      </c>
      <c r="L11" s="45" t="s">
        <v>560</v>
      </c>
      <c r="M11" s="45" t="s">
        <v>560</v>
      </c>
      <c r="N11" s="45" t="s">
        <v>560</v>
      </c>
      <c r="O11" s="45" t="s">
        <v>560</v>
      </c>
      <c r="P11" s="45" t="s">
        <v>560</v>
      </c>
      <c r="Q11" s="46" t="s">
        <v>561</v>
      </c>
      <c r="R11" s="46" t="s">
        <v>561</v>
      </c>
      <c r="S11" s="15"/>
      <c r="T11" s="9"/>
      <c r="U11" s="24"/>
      <c r="V11" s="15"/>
      <c r="W11" s="9"/>
      <c r="X11" s="338"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33"/>
      <c r="Y12" s="105"/>
      <c r="Z12" s="118" t="e">
        <f>+#REF!</f>
        <v>#REF!</v>
      </c>
      <c r="AA12" s="119" t="s">
        <v>562</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33"/>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33"/>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33"/>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33"/>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33"/>
      <c r="Y17" s="112" t="s">
        <v>529</v>
      </c>
      <c r="AA17" s="91" t="s">
        <v>563</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33"/>
      <c r="Y18" s="112" t="s">
        <v>532</v>
      </c>
      <c r="AA18" s="91" t="s">
        <v>564</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33"/>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33"/>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33"/>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33"/>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33"/>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39"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33"/>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33"/>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33"/>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32" t="s">
        <v>549</v>
      </c>
      <c r="B31" s="333"/>
      <c r="C31" s="13"/>
      <c r="D31" s="19"/>
      <c r="E31" s="19"/>
      <c r="F31" s="19"/>
      <c r="G31" s="19"/>
      <c r="H31" s="19"/>
      <c r="I31" s="19"/>
      <c r="J31" s="19"/>
      <c r="K31" s="19"/>
      <c r="L31" s="19"/>
      <c r="M31" s="19"/>
      <c r="N31" s="19"/>
      <c r="O31" s="19"/>
      <c r="P31" s="19"/>
      <c r="Q31" s="19"/>
      <c r="R31" s="62"/>
      <c r="S31" s="19"/>
      <c r="T31" s="19"/>
      <c r="U31" s="36"/>
      <c r="V31" s="19"/>
      <c r="W31" s="9"/>
      <c r="X31" s="333"/>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565</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33"/>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33"/>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33"/>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33"/>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33"/>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33"/>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75DBE-9B92-484C-B4B3-03A720726B42}">
  <sheetPr>
    <tabColor theme="9" tint="0.59999389629810485"/>
    <pageSetUpPr fitToPage="1"/>
  </sheetPr>
  <dimension ref="A1:AU993"/>
  <sheetViews>
    <sheetView topLeftCell="O23"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34"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33"/>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566</v>
      </c>
      <c r="B3" s="9"/>
      <c r="C3" s="20"/>
      <c r="D3" s="21"/>
      <c r="E3" s="15"/>
      <c r="F3" s="15"/>
      <c r="G3" s="15"/>
      <c r="H3" s="15"/>
      <c r="I3" s="22"/>
      <c r="J3" s="22"/>
      <c r="K3" s="22"/>
      <c r="L3" s="22"/>
      <c r="M3" s="22"/>
      <c r="N3" s="22"/>
      <c r="O3" s="22"/>
      <c r="P3" s="22"/>
      <c r="Q3" s="23"/>
      <c r="R3" s="22"/>
      <c r="S3" s="15"/>
      <c r="T3" s="22"/>
      <c r="U3" s="24"/>
      <c r="V3" s="15"/>
      <c r="W3" s="9"/>
      <c r="X3" s="333"/>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33"/>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35" t="s">
        <v>483</v>
      </c>
      <c r="D5" s="333"/>
      <c r="E5" s="333"/>
      <c r="F5" s="333"/>
      <c r="G5" s="333"/>
      <c r="H5" s="333"/>
      <c r="I5" s="336" t="s">
        <v>484</v>
      </c>
      <c r="J5" s="333"/>
      <c r="K5" s="333"/>
      <c r="L5" s="333"/>
      <c r="M5" s="333"/>
      <c r="N5" s="333"/>
      <c r="O5" s="333"/>
      <c r="P5" s="333"/>
      <c r="Q5" s="333"/>
      <c r="R5" s="333"/>
      <c r="S5" s="30"/>
      <c r="T5" s="27" t="s">
        <v>485</v>
      </c>
      <c r="U5" s="24"/>
      <c r="V5" s="15"/>
      <c r="W5" s="9"/>
      <c r="X5" s="333"/>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33"/>
      <c r="Y6" s="96"/>
      <c r="Z6" s="97"/>
      <c r="AA6" s="98"/>
      <c r="AB6" s="98"/>
      <c r="AC6" s="98"/>
      <c r="AD6" s="98"/>
      <c r="AE6" s="98"/>
      <c r="AF6" s="99"/>
      <c r="AG6" s="9"/>
      <c r="AH6" s="9"/>
      <c r="AI6" s="9"/>
      <c r="AJ6" s="9"/>
      <c r="AK6" s="9"/>
      <c r="AL6" s="9"/>
      <c r="AM6" s="9"/>
      <c r="AN6" s="9"/>
      <c r="AO6" s="9"/>
      <c r="AP6" s="9"/>
      <c r="AQ6" s="9"/>
      <c r="AR6" s="9"/>
      <c r="AS6" s="9"/>
      <c r="AT6" s="9"/>
      <c r="AU6" s="9"/>
    </row>
    <row r="7" spans="1:47" ht="12" customHeight="1" x14ac:dyDescent="0.35">
      <c r="B7" s="9"/>
      <c r="C7" s="19"/>
      <c r="D7" s="15"/>
      <c r="E7" s="15"/>
      <c r="F7" s="15"/>
      <c r="G7" s="15"/>
      <c r="H7" s="15"/>
      <c r="I7" s="37"/>
      <c r="J7" s="37"/>
      <c r="K7" s="37"/>
      <c r="L7" s="37"/>
      <c r="M7" s="37"/>
      <c r="N7" s="37"/>
      <c r="O7" s="37"/>
      <c r="P7" s="37"/>
      <c r="Q7" s="38"/>
      <c r="R7" s="37"/>
      <c r="S7" s="19"/>
      <c r="T7" s="9"/>
      <c r="U7" s="36" t="s">
        <v>488</v>
      </c>
      <c r="V7" s="15"/>
      <c r="W7" s="9"/>
      <c r="X7" s="333"/>
      <c r="Y7" s="337" t="s">
        <v>489</v>
      </c>
      <c r="Z7" s="333"/>
      <c r="AA7" s="333"/>
      <c r="AB7" s="333"/>
      <c r="AC7" s="333"/>
      <c r="AD7" s="333"/>
      <c r="AE7" s="333"/>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33"/>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33"/>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33"/>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567</v>
      </c>
      <c r="D11" s="45" t="s">
        <v>567</v>
      </c>
      <c r="E11" s="45" t="s">
        <v>567</v>
      </c>
      <c r="F11" s="45" t="s">
        <v>567</v>
      </c>
      <c r="G11" s="45" t="s">
        <v>567</v>
      </c>
      <c r="H11" s="45" t="s">
        <v>567</v>
      </c>
      <c r="I11" s="45" t="s">
        <v>567</v>
      </c>
      <c r="J11" s="45" t="s">
        <v>567</v>
      </c>
      <c r="K11" s="45" t="s">
        <v>567</v>
      </c>
      <c r="L11" s="45" t="s">
        <v>567</v>
      </c>
      <c r="M11" s="45" t="s">
        <v>567</v>
      </c>
      <c r="N11" s="45" t="s">
        <v>567</v>
      </c>
      <c r="O11" s="45" t="s">
        <v>567</v>
      </c>
      <c r="P11" s="45" t="s">
        <v>567</v>
      </c>
      <c r="Q11" s="46" t="s">
        <v>568</v>
      </c>
      <c r="R11" s="46" t="s">
        <v>568</v>
      </c>
      <c r="S11" s="15"/>
      <c r="T11" s="9"/>
      <c r="U11" s="24"/>
      <c r="V11" s="15"/>
      <c r="W11" s="9"/>
      <c r="X11" s="338"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33"/>
      <c r="Y12" s="105"/>
      <c r="Z12" s="118" t="e">
        <f>+#REF!</f>
        <v>#REF!</v>
      </c>
      <c r="AA12" s="119" t="s">
        <v>569</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33"/>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33"/>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33"/>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33"/>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33"/>
      <c r="Y17" s="112" t="s">
        <v>529</v>
      </c>
      <c r="AA17" s="91" t="s">
        <v>570</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33"/>
      <c r="Y18" s="112" t="s">
        <v>532</v>
      </c>
      <c r="AA18" s="91" t="s">
        <v>571</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33"/>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33"/>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33"/>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33"/>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33"/>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39"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33"/>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33"/>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33"/>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32" t="s">
        <v>549</v>
      </c>
      <c r="B31" s="333"/>
      <c r="C31" s="13"/>
      <c r="D31" s="19"/>
      <c r="E31" s="19"/>
      <c r="F31" s="19"/>
      <c r="G31" s="19"/>
      <c r="H31" s="19"/>
      <c r="I31" s="19"/>
      <c r="J31" s="19"/>
      <c r="K31" s="19"/>
      <c r="L31" s="19"/>
      <c r="M31" s="19"/>
      <c r="N31" s="19"/>
      <c r="O31" s="19"/>
      <c r="P31" s="19"/>
      <c r="Q31" s="19"/>
      <c r="R31" s="62"/>
      <c r="S31" s="19"/>
      <c r="T31" s="19"/>
      <c r="U31" s="36"/>
      <c r="V31" s="19"/>
      <c r="W31" s="9"/>
      <c r="X31" s="333"/>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572</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33"/>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33"/>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33"/>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33"/>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33"/>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33"/>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5EC76-4298-453B-83DA-2A3D140D8C15}">
  <sheetPr>
    <tabColor theme="9" tint="0.59999389629810485"/>
    <pageSetUpPr fitToPage="1"/>
  </sheetPr>
  <dimension ref="A1:AU993"/>
  <sheetViews>
    <sheetView topLeftCell="H21" workbookViewId="0">
      <selection activeCell="U10" sqref="U10"/>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34"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33"/>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573</v>
      </c>
      <c r="B3" s="9"/>
      <c r="C3" s="20"/>
      <c r="D3" s="21"/>
      <c r="E3" s="15"/>
      <c r="F3" s="15"/>
      <c r="G3" s="15"/>
      <c r="H3" s="15"/>
      <c r="I3" s="22"/>
      <c r="J3" s="22"/>
      <c r="K3" s="22"/>
      <c r="L3" s="22"/>
      <c r="M3" s="22"/>
      <c r="N3" s="22"/>
      <c r="O3" s="22"/>
      <c r="P3" s="22"/>
      <c r="Q3" s="23"/>
      <c r="R3" s="22"/>
      <c r="S3" s="15"/>
      <c r="T3" s="22"/>
      <c r="U3" s="24"/>
      <c r="V3" s="15"/>
      <c r="W3" s="9"/>
      <c r="X3" s="333"/>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33"/>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35" t="s">
        <v>483</v>
      </c>
      <c r="D5" s="333"/>
      <c r="E5" s="333"/>
      <c r="F5" s="333"/>
      <c r="G5" s="333"/>
      <c r="H5" s="333"/>
      <c r="I5" s="336" t="s">
        <v>484</v>
      </c>
      <c r="J5" s="333"/>
      <c r="K5" s="333"/>
      <c r="L5" s="333"/>
      <c r="M5" s="333"/>
      <c r="N5" s="333"/>
      <c r="O5" s="333"/>
      <c r="P5" s="333"/>
      <c r="Q5" s="333"/>
      <c r="R5" s="333"/>
      <c r="S5" s="30"/>
      <c r="T5" s="27" t="s">
        <v>485</v>
      </c>
      <c r="U5" s="24"/>
      <c r="V5" s="15"/>
      <c r="W5" s="9"/>
      <c r="X5" s="333"/>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33"/>
      <c r="Y6" s="96"/>
      <c r="Z6" s="97"/>
      <c r="AA6" s="98"/>
      <c r="AB6" s="98"/>
      <c r="AC6" s="98"/>
      <c r="AD6" s="98"/>
      <c r="AE6" s="98"/>
      <c r="AF6" s="99"/>
      <c r="AG6" s="9"/>
      <c r="AH6" s="9"/>
      <c r="AI6" s="9"/>
      <c r="AJ6" s="9"/>
      <c r="AK6" s="9"/>
      <c r="AL6" s="9"/>
      <c r="AM6" s="9"/>
      <c r="AN6" s="9"/>
      <c r="AO6" s="9"/>
      <c r="AP6" s="9"/>
      <c r="AQ6" s="9"/>
      <c r="AR6" s="9"/>
      <c r="AS6" s="9"/>
      <c r="AT6" s="9"/>
      <c r="AU6" s="9"/>
    </row>
    <row r="7" spans="1:47" ht="15.5" x14ac:dyDescent="0.35">
      <c r="B7" s="9"/>
      <c r="C7" s="19"/>
      <c r="D7" s="15"/>
      <c r="E7" s="15"/>
      <c r="F7" s="15"/>
      <c r="G7" s="15"/>
      <c r="H7" s="15"/>
      <c r="I7" s="37"/>
      <c r="J7" s="37"/>
      <c r="K7" s="37"/>
      <c r="L7" s="37"/>
      <c r="M7" s="37"/>
      <c r="N7" s="37"/>
      <c r="O7" s="37"/>
      <c r="P7" s="37"/>
      <c r="Q7" s="38"/>
      <c r="R7" s="37"/>
      <c r="S7" s="19"/>
      <c r="T7" s="9"/>
      <c r="U7" s="36" t="s">
        <v>488</v>
      </c>
      <c r="V7" s="15"/>
      <c r="W7" s="9"/>
      <c r="X7" s="333"/>
      <c r="Y7" s="337" t="s">
        <v>574</v>
      </c>
      <c r="Z7" s="333"/>
      <c r="AA7" s="333"/>
      <c r="AB7" s="333"/>
      <c r="AC7" s="333"/>
      <c r="AD7" s="333"/>
      <c r="AE7" s="333"/>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33"/>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33"/>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33"/>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575</v>
      </c>
      <c r="D11" s="45" t="s">
        <v>575</v>
      </c>
      <c r="E11" s="45" t="s">
        <v>575</v>
      </c>
      <c r="F11" s="45" t="s">
        <v>575</v>
      </c>
      <c r="G11" s="45" t="s">
        <v>575</v>
      </c>
      <c r="H11" s="45" t="s">
        <v>575</v>
      </c>
      <c r="I11" s="45" t="s">
        <v>575</v>
      </c>
      <c r="J11" s="45" t="s">
        <v>575</v>
      </c>
      <c r="K11" s="45" t="s">
        <v>575</v>
      </c>
      <c r="L11" s="45" t="s">
        <v>575</v>
      </c>
      <c r="M11" s="45" t="s">
        <v>575</v>
      </c>
      <c r="N11" s="45" t="s">
        <v>575</v>
      </c>
      <c r="O11" s="45" t="s">
        <v>575</v>
      </c>
      <c r="P11" s="45" t="s">
        <v>575</v>
      </c>
      <c r="Q11" s="46" t="s">
        <v>576</v>
      </c>
      <c r="R11" s="46" t="s">
        <v>576</v>
      </c>
      <c r="S11" s="15"/>
      <c r="T11" s="9"/>
      <c r="U11" s="24"/>
      <c r="V11" s="15"/>
      <c r="W11" s="9"/>
      <c r="X11" s="338"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33"/>
      <c r="Y12" s="105"/>
      <c r="Z12" s="118" t="e">
        <f>+#REF!</f>
        <v>#REF!</v>
      </c>
      <c r="AA12" s="119" t="s">
        <v>577</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33"/>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33"/>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33"/>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33"/>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33"/>
      <c r="Y17" s="112" t="s">
        <v>529</v>
      </c>
      <c r="AA17" s="91" t="s">
        <v>578</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33"/>
      <c r="Y18" s="112" t="s">
        <v>532</v>
      </c>
      <c r="AA18" s="91" t="s">
        <v>579</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33"/>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33"/>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33"/>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33"/>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33"/>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39"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33"/>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33"/>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33"/>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32" t="s">
        <v>549</v>
      </c>
      <c r="B31" s="333"/>
      <c r="C31" s="13"/>
      <c r="D31" s="19"/>
      <c r="E31" s="19"/>
      <c r="F31" s="19"/>
      <c r="G31" s="19"/>
      <c r="H31" s="19"/>
      <c r="I31" s="19"/>
      <c r="J31" s="19"/>
      <c r="K31" s="19"/>
      <c r="L31" s="19"/>
      <c r="M31" s="19"/>
      <c r="N31" s="19"/>
      <c r="O31" s="19"/>
      <c r="P31" s="19"/>
      <c r="Q31" s="19"/>
      <c r="R31" s="62"/>
      <c r="S31" s="19"/>
      <c r="T31" s="19"/>
      <c r="U31" s="36"/>
      <c r="V31" s="19"/>
      <c r="W31" s="9"/>
      <c r="X31" s="333"/>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580</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33"/>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33"/>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33"/>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33"/>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33"/>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33"/>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A179F-152F-4FFE-93CE-EE8B292BC7FF}">
  <sheetPr>
    <tabColor theme="9" tint="0.59999389629810485"/>
    <pageSetUpPr fitToPage="1"/>
  </sheetPr>
  <dimension ref="A1:AU993"/>
  <sheetViews>
    <sheetView topLeftCell="M1"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21.25" style="17" customWidth="1"/>
    <col min="27" max="27" width="17.5" style="17" customWidth="1"/>
    <col min="28"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34"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33"/>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581</v>
      </c>
      <c r="B3" s="9"/>
      <c r="C3" s="20"/>
      <c r="D3" s="21"/>
      <c r="E3" s="15"/>
      <c r="F3" s="15"/>
      <c r="G3" s="15"/>
      <c r="H3" s="15"/>
      <c r="I3" s="22"/>
      <c r="J3" s="22"/>
      <c r="K3" s="22"/>
      <c r="L3" s="22"/>
      <c r="M3" s="22"/>
      <c r="N3" s="22"/>
      <c r="O3" s="22"/>
      <c r="P3" s="22"/>
      <c r="Q3" s="23"/>
      <c r="R3" s="22"/>
      <c r="S3" s="15"/>
      <c r="T3" s="22"/>
      <c r="U3" s="24"/>
      <c r="V3" s="15"/>
      <c r="W3" s="9"/>
      <c r="X3" s="333"/>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33"/>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35" t="s">
        <v>483</v>
      </c>
      <c r="D5" s="333"/>
      <c r="E5" s="333"/>
      <c r="F5" s="333"/>
      <c r="G5" s="333"/>
      <c r="H5" s="333"/>
      <c r="I5" s="336" t="s">
        <v>484</v>
      </c>
      <c r="J5" s="333"/>
      <c r="K5" s="333"/>
      <c r="L5" s="333"/>
      <c r="M5" s="333"/>
      <c r="N5" s="333"/>
      <c r="O5" s="333"/>
      <c r="P5" s="333"/>
      <c r="Q5" s="333"/>
      <c r="R5" s="333"/>
      <c r="S5" s="30"/>
      <c r="T5" s="27" t="s">
        <v>485</v>
      </c>
      <c r="U5" s="24"/>
      <c r="V5" s="15"/>
      <c r="W5" s="9"/>
      <c r="X5" s="333"/>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33"/>
      <c r="Y6" s="96"/>
      <c r="Z6" s="97"/>
      <c r="AA6" s="98"/>
      <c r="AB6" s="98"/>
      <c r="AC6" s="98"/>
      <c r="AD6" s="98"/>
      <c r="AE6" s="98"/>
      <c r="AF6" s="99"/>
      <c r="AG6" s="9"/>
      <c r="AH6" s="9"/>
      <c r="AI6" s="9"/>
      <c r="AJ6" s="9"/>
      <c r="AK6" s="9"/>
      <c r="AL6" s="9"/>
      <c r="AM6" s="9"/>
      <c r="AN6" s="9"/>
      <c r="AO6" s="9"/>
      <c r="AP6" s="9"/>
      <c r="AQ6" s="9"/>
      <c r="AR6" s="9"/>
      <c r="AS6" s="9"/>
      <c r="AT6" s="9"/>
      <c r="AU6" s="9"/>
    </row>
    <row r="7" spans="1:47" ht="12" customHeight="1" x14ac:dyDescent="0.35">
      <c r="B7" s="9"/>
      <c r="C7" s="19"/>
      <c r="D7" s="15"/>
      <c r="E7" s="15"/>
      <c r="F7" s="15"/>
      <c r="G7" s="15"/>
      <c r="H7" s="15"/>
      <c r="I7" s="37"/>
      <c r="J7" s="37"/>
      <c r="K7" s="37"/>
      <c r="L7" s="37"/>
      <c r="M7" s="37"/>
      <c r="N7" s="37"/>
      <c r="O7" s="37"/>
      <c r="P7" s="37"/>
      <c r="Q7" s="38"/>
      <c r="R7" s="37"/>
      <c r="S7" s="19"/>
      <c r="T7" s="9"/>
      <c r="U7" s="36" t="s">
        <v>488</v>
      </c>
      <c r="V7" s="15"/>
      <c r="W7" s="9"/>
      <c r="X7" s="333"/>
      <c r="Y7" s="337" t="s">
        <v>489</v>
      </c>
      <c r="Z7" s="333"/>
      <c r="AA7" s="333"/>
      <c r="AB7" s="333"/>
      <c r="AC7" s="333"/>
      <c r="AD7" s="333"/>
      <c r="AE7" s="333"/>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33"/>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33"/>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33"/>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575</v>
      </c>
      <c r="D11" s="45" t="s">
        <v>575</v>
      </c>
      <c r="E11" s="45" t="s">
        <v>575</v>
      </c>
      <c r="F11" s="45" t="s">
        <v>575</v>
      </c>
      <c r="G11" s="45" t="s">
        <v>575</v>
      </c>
      <c r="H11" s="45" t="s">
        <v>575</v>
      </c>
      <c r="I11" s="45" t="s">
        <v>575</v>
      </c>
      <c r="J11" s="45" t="s">
        <v>575</v>
      </c>
      <c r="K11" s="45" t="s">
        <v>575</v>
      </c>
      <c r="L11" s="45" t="s">
        <v>575</v>
      </c>
      <c r="M11" s="45" t="s">
        <v>575</v>
      </c>
      <c r="N11" s="45" t="s">
        <v>575</v>
      </c>
      <c r="O11" s="45" t="s">
        <v>575</v>
      </c>
      <c r="P11" s="45" t="s">
        <v>575</v>
      </c>
      <c r="Q11" s="46" t="s">
        <v>576</v>
      </c>
      <c r="R11" s="46" t="s">
        <v>576</v>
      </c>
      <c r="S11" s="15"/>
      <c r="T11" s="9"/>
      <c r="U11" s="24"/>
      <c r="V11" s="15"/>
      <c r="W11" s="9"/>
      <c r="X11" s="338"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33"/>
      <c r="Y12" s="105"/>
      <c r="Z12" s="118" t="e">
        <f>+#REF!</f>
        <v>#REF!</v>
      </c>
      <c r="AA12" s="119" t="s">
        <v>582</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33"/>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33"/>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33"/>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33"/>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33"/>
      <c r="Y17" s="112" t="s">
        <v>529</v>
      </c>
      <c r="AA17" s="91" t="s">
        <v>583</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33"/>
      <c r="Y18" s="112" t="s">
        <v>532</v>
      </c>
      <c r="AA18" s="91" t="s">
        <v>584</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33"/>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33"/>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33"/>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33"/>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33"/>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39"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33"/>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33"/>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33"/>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32" t="s">
        <v>549</v>
      </c>
      <c r="B31" s="333"/>
      <c r="C31" s="13"/>
      <c r="D31" s="19"/>
      <c r="E31" s="19"/>
      <c r="F31" s="19"/>
      <c r="G31" s="19"/>
      <c r="H31" s="19"/>
      <c r="I31" s="19"/>
      <c r="J31" s="19"/>
      <c r="K31" s="19"/>
      <c r="L31" s="19"/>
      <c r="M31" s="19"/>
      <c r="N31" s="19"/>
      <c r="O31" s="19"/>
      <c r="P31" s="19"/>
      <c r="Q31" s="19"/>
      <c r="R31" s="62"/>
      <c r="S31" s="19"/>
      <c r="T31" s="19"/>
      <c r="U31" s="36"/>
      <c r="V31" s="19"/>
      <c r="W31" s="9"/>
      <c r="X31" s="333"/>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585</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33"/>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33"/>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33"/>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33"/>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33"/>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33"/>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CDE Mill Levy Certification </vt:lpstr>
      <vt:lpstr>Dec2022Data</vt:lpstr>
      <vt:lpstr>Hold Harmless</vt:lpstr>
      <vt:lpstr>Suppl Info</vt:lpstr>
      <vt:lpstr>General #10 collections</vt:lpstr>
      <vt:lpstr>Bond #31 collections </vt:lpstr>
      <vt:lpstr>Transportion #25 collections</vt:lpstr>
      <vt:lpstr>Special BLDG &amp; Tech #42 collec</vt:lpstr>
      <vt:lpstr>Supp CCTechMaint Fund #46 or 06</vt:lpstr>
      <vt:lpstr>Data FY23 Final</vt:lpstr>
      <vt:lpstr>Data FY24 Final</vt:lpstr>
      <vt:lpstr>Data Aug 25 AV</vt:lpstr>
      <vt:lpstr>'Data Aug 25 AV'!_FilterDatabase</vt:lpstr>
      <vt:lpstr>'Data FY23 Final'!_FilterDatabase</vt:lpstr>
      <vt:lpstr>'CDE Mill Levy Certification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Business Office</dc:creator>
  <cp:keywords/>
  <dc:description/>
  <cp:lastModifiedBy>Kahle, Tim</cp:lastModifiedBy>
  <cp:revision/>
  <cp:lastPrinted>2024-11-18T14:54:23Z</cp:lastPrinted>
  <dcterms:created xsi:type="dcterms:W3CDTF">2004-11-29T15:58:53Z</dcterms:created>
  <dcterms:modified xsi:type="dcterms:W3CDTF">2024-11-18T20:40:36Z</dcterms:modified>
  <cp:category/>
  <cp:contentStatus/>
</cp:coreProperties>
</file>