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SFU\Charter Schools\Supplemental At-Risk Funding\"/>
    </mc:Choice>
  </mc:AlternateContent>
  <bookViews>
    <workbookView xWindow="0" yWindow="0" windowWidth="23040" windowHeight="9384"/>
  </bookViews>
  <sheets>
    <sheet name="FY2019-20 Supplemental Aid" sheetId="1" r:id="rId1"/>
  </sheets>
  <externalReferences>
    <externalReference r:id="rId2"/>
    <externalReference r:id="rId3"/>
  </externalReferences>
  <definedNames>
    <definedName name="Inputs">[1]Inputs!$A$2:$I$181</definedName>
    <definedName name="_xlnm.Print_Area" localSheetId="0">'FY2019-20 Supplemental Aid'!$A$1:$K$123</definedName>
    <definedName name="_xlnm.Print_Titles" localSheetId="0">'FY2019-20 Supplemental Aid'!$1:$5</definedName>
    <definedName name="Values">[2]Inputs!$A$2:$I$181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2" i="1" l="1"/>
  <c r="I122" i="1"/>
  <c r="D122" i="1"/>
  <c r="K120" i="1"/>
  <c r="K118" i="1"/>
  <c r="K117" i="1"/>
  <c r="K115" i="1"/>
  <c r="K114" i="1"/>
  <c r="K112" i="1"/>
  <c r="K111" i="1"/>
  <c r="K110" i="1"/>
  <c r="K109" i="1"/>
  <c r="K108" i="1"/>
  <c r="K107" i="1"/>
  <c r="K106" i="1"/>
  <c r="K105" i="1"/>
  <c r="K103" i="1"/>
  <c r="K101" i="1"/>
  <c r="K99" i="1"/>
  <c r="K97" i="1"/>
  <c r="K96" i="1"/>
  <c r="K95" i="1"/>
  <c r="K93" i="1"/>
  <c r="K92" i="1"/>
  <c r="K91" i="1"/>
  <c r="K90" i="1"/>
  <c r="K89" i="1"/>
  <c r="K88" i="1"/>
  <c r="K122" i="1" s="1"/>
  <c r="C79" i="1"/>
  <c r="C78" i="1"/>
  <c r="C76" i="1"/>
  <c r="C77" i="1" s="1"/>
  <c r="B76" i="1"/>
  <c r="B78" i="1" s="1"/>
  <c r="B79" i="1" s="1"/>
  <c r="I70" i="1"/>
  <c r="H70" i="1"/>
  <c r="F70" i="1"/>
  <c r="G70" i="1" s="1"/>
  <c r="E70" i="1"/>
  <c r="D70" i="1"/>
  <c r="I69" i="1"/>
  <c r="H69" i="1"/>
  <c r="F69" i="1"/>
  <c r="E69" i="1"/>
  <c r="D69" i="1"/>
  <c r="I68" i="1"/>
  <c r="I71" i="1" s="1"/>
  <c r="H68" i="1"/>
  <c r="F68" i="1"/>
  <c r="G68" i="1" s="1"/>
  <c r="E68" i="1"/>
  <c r="E71" i="1" s="1"/>
  <c r="D68" i="1"/>
  <c r="D71" i="1" s="1"/>
  <c r="I66" i="1"/>
  <c r="H66" i="1"/>
  <c r="F66" i="1"/>
  <c r="G66" i="1" s="1"/>
  <c r="E66" i="1"/>
  <c r="D66" i="1"/>
  <c r="I64" i="1"/>
  <c r="H64" i="1"/>
  <c r="F64" i="1"/>
  <c r="G64" i="1" s="1"/>
  <c r="E64" i="1"/>
  <c r="D64" i="1"/>
  <c r="I61" i="1"/>
  <c r="H61" i="1"/>
  <c r="F61" i="1"/>
  <c r="G61" i="1" s="1"/>
  <c r="K61" i="1" s="1"/>
  <c r="E61" i="1"/>
  <c r="D61" i="1"/>
  <c r="I60" i="1"/>
  <c r="I62" i="1" s="1"/>
  <c r="H60" i="1"/>
  <c r="F60" i="1"/>
  <c r="F62" i="1" s="1"/>
  <c r="E60" i="1"/>
  <c r="E62" i="1" s="1"/>
  <c r="D60" i="1"/>
  <c r="D62" i="1" s="1"/>
  <c r="I58" i="1"/>
  <c r="H58" i="1"/>
  <c r="F58" i="1"/>
  <c r="E58" i="1"/>
  <c r="G58" i="1" s="1"/>
  <c r="K58" i="1" s="1"/>
  <c r="D58" i="1"/>
  <c r="I55" i="1"/>
  <c r="H55" i="1"/>
  <c r="F55" i="1"/>
  <c r="G55" i="1" s="1"/>
  <c r="E55" i="1"/>
  <c r="D55" i="1"/>
  <c r="I54" i="1"/>
  <c r="I56" i="1" s="1"/>
  <c r="H54" i="1"/>
  <c r="F54" i="1"/>
  <c r="E54" i="1"/>
  <c r="E56" i="1" s="1"/>
  <c r="D54" i="1"/>
  <c r="D56" i="1" s="1"/>
  <c r="I52" i="1"/>
  <c r="H52" i="1"/>
  <c r="F52" i="1"/>
  <c r="G52" i="1" s="1"/>
  <c r="E52" i="1"/>
  <c r="D52" i="1"/>
  <c r="I49" i="1"/>
  <c r="H49" i="1"/>
  <c r="F49" i="1"/>
  <c r="G49" i="1" s="1"/>
  <c r="K49" i="1" s="1"/>
  <c r="E49" i="1"/>
  <c r="D49" i="1"/>
  <c r="D50" i="1" s="1"/>
  <c r="I48" i="1"/>
  <c r="I50" i="1" s="1"/>
  <c r="H48" i="1"/>
  <c r="K48" i="1" s="1"/>
  <c r="F48" i="1"/>
  <c r="F50" i="1" s="1"/>
  <c r="E48" i="1"/>
  <c r="E50" i="1" s="1"/>
  <c r="D48" i="1"/>
  <c r="I45" i="1"/>
  <c r="H45" i="1"/>
  <c r="F45" i="1"/>
  <c r="E45" i="1"/>
  <c r="D45" i="1"/>
  <c r="I44" i="1"/>
  <c r="I46" i="1" s="1"/>
  <c r="H44" i="1"/>
  <c r="F44" i="1"/>
  <c r="F46" i="1" s="1"/>
  <c r="E44" i="1"/>
  <c r="G44" i="1" s="1"/>
  <c r="D44" i="1"/>
  <c r="D46" i="1" s="1"/>
  <c r="I41" i="1"/>
  <c r="H41" i="1"/>
  <c r="F41" i="1"/>
  <c r="G41" i="1" s="1"/>
  <c r="E41" i="1"/>
  <c r="D41" i="1"/>
  <c r="I40" i="1"/>
  <c r="I42" i="1" s="1"/>
  <c r="H40" i="1"/>
  <c r="F40" i="1"/>
  <c r="F42" i="1" s="1"/>
  <c r="E40" i="1"/>
  <c r="E42" i="1" s="1"/>
  <c r="D40" i="1"/>
  <c r="D42" i="1" s="1"/>
  <c r="I38" i="1"/>
  <c r="H38" i="1"/>
  <c r="F38" i="1"/>
  <c r="G38" i="1" s="1"/>
  <c r="E38" i="1"/>
  <c r="D38" i="1"/>
  <c r="I36" i="1"/>
  <c r="H36" i="1"/>
  <c r="F36" i="1"/>
  <c r="G36" i="1" s="1"/>
  <c r="E36" i="1"/>
  <c r="D36" i="1"/>
  <c r="I33" i="1"/>
  <c r="H33" i="1"/>
  <c r="G33" i="1"/>
  <c r="K33" i="1" s="1"/>
  <c r="D33" i="1"/>
  <c r="I32" i="1"/>
  <c r="H32" i="1"/>
  <c r="F32" i="1"/>
  <c r="G32" i="1" s="1"/>
  <c r="E32" i="1"/>
  <c r="D32" i="1"/>
  <c r="I31" i="1"/>
  <c r="H31" i="1"/>
  <c r="F31" i="1"/>
  <c r="G31" i="1" s="1"/>
  <c r="E31" i="1"/>
  <c r="D31" i="1"/>
  <c r="I30" i="1"/>
  <c r="H30" i="1"/>
  <c r="F30" i="1"/>
  <c r="G30" i="1" s="1"/>
  <c r="E30" i="1"/>
  <c r="D30" i="1"/>
  <c r="I29" i="1"/>
  <c r="H29" i="1"/>
  <c r="F29" i="1"/>
  <c r="E29" i="1"/>
  <c r="E34" i="1" s="1"/>
  <c r="D29" i="1"/>
  <c r="D34" i="1" s="1"/>
  <c r="I26" i="1"/>
  <c r="H26" i="1"/>
  <c r="F26" i="1"/>
  <c r="G26" i="1" s="1"/>
  <c r="E26" i="1"/>
  <c r="D26" i="1"/>
  <c r="I25" i="1"/>
  <c r="I27" i="1" s="1"/>
  <c r="H25" i="1"/>
  <c r="F25" i="1"/>
  <c r="G25" i="1" s="1"/>
  <c r="E25" i="1"/>
  <c r="E27" i="1" s="1"/>
  <c r="D25" i="1"/>
  <c r="D27" i="1" s="1"/>
  <c r="I22" i="1"/>
  <c r="H22" i="1"/>
  <c r="F22" i="1"/>
  <c r="G22" i="1" s="1"/>
  <c r="E22" i="1"/>
  <c r="D22" i="1"/>
  <c r="I21" i="1"/>
  <c r="H21" i="1"/>
  <c r="F21" i="1"/>
  <c r="E21" i="1"/>
  <c r="D21" i="1"/>
  <c r="I20" i="1"/>
  <c r="H20" i="1"/>
  <c r="F20" i="1"/>
  <c r="G20" i="1" s="1"/>
  <c r="E20" i="1"/>
  <c r="D20" i="1"/>
  <c r="I19" i="1"/>
  <c r="H19" i="1"/>
  <c r="F19" i="1"/>
  <c r="G19" i="1" s="1"/>
  <c r="E19" i="1"/>
  <c r="D19" i="1"/>
  <c r="I18" i="1"/>
  <c r="H18" i="1"/>
  <c r="F18" i="1"/>
  <c r="E18" i="1"/>
  <c r="D18" i="1"/>
  <c r="I17" i="1"/>
  <c r="H17" i="1"/>
  <c r="F17" i="1"/>
  <c r="G17" i="1" s="1"/>
  <c r="E17" i="1"/>
  <c r="D17" i="1"/>
  <c r="I16" i="1"/>
  <c r="H16" i="1"/>
  <c r="F16" i="1"/>
  <c r="G16" i="1" s="1"/>
  <c r="E16" i="1"/>
  <c r="D16" i="1"/>
  <c r="I15" i="1"/>
  <c r="H15" i="1"/>
  <c r="F15" i="1"/>
  <c r="G15" i="1" s="1"/>
  <c r="E15" i="1"/>
  <c r="D15" i="1"/>
  <c r="I14" i="1"/>
  <c r="H14" i="1"/>
  <c r="F14" i="1"/>
  <c r="E14" i="1"/>
  <c r="D14" i="1"/>
  <c r="I13" i="1"/>
  <c r="I23" i="1" s="1"/>
  <c r="H13" i="1"/>
  <c r="F13" i="1"/>
  <c r="E13" i="1"/>
  <c r="E23" i="1" s="1"/>
  <c r="D13" i="1"/>
  <c r="D23" i="1" s="1"/>
  <c r="I10" i="1"/>
  <c r="H10" i="1"/>
  <c r="F10" i="1"/>
  <c r="G10" i="1" s="1"/>
  <c r="E10" i="1"/>
  <c r="D10" i="1"/>
  <c r="I9" i="1"/>
  <c r="I11" i="1" s="1"/>
  <c r="H9" i="1"/>
  <c r="F9" i="1"/>
  <c r="E9" i="1"/>
  <c r="E11" i="1" s="1"/>
  <c r="D9" i="1"/>
  <c r="D11" i="1" s="1"/>
  <c r="I7" i="1"/>
  <c r="H7" i="1"/>
  <c r="F7" i="1"/>
  <c r="G7" i="1" s="1"/>
  <c r="E7" i="1"/>
  <c r="D7" i="1"/>
  <c r="G21" i="1" l="1"/>
  <c r="F34" i="1"/>
  <c r="F11" i="1"/>
  <c r="F23" i="1"/>
  <c r="G18" i="1"/>
  <c r="J18" i="1" s="1"/>
  <c r="I34" i="1"/>
  <c r="I74" i="1" s="1"/>
  <c r="G54" i="1"/>
  <c r="G69" i="1"/>
  <c r="G45" i="1"/>
  <c r="G60" i="1"/>
  <c r="K60" i="1" s="1"/>
  <c r="K62" i="1" s="1"/>
  <c r="J22" i="1"/>
  <c r="K22" i="1"/>
  <c r="J30" i="1"/>
  <c r="K30" i="1"/>
  <c r="J41" i="1"/>
  <c r="K41" i="1"/>
  <c r="K52" i="1"/>
  <c r="J52" i="1"/>
  <c r="K68" i="1"/>
  <c r="J68" i="1"/>
  <c r="J10" i="1"/>
  <c r="K10" i="1"/>
  <c r="J15" i="1"/>
  <c r="K15" i="1"/>
  <c r="J19" i="1"/>
  <c r="K19" i="1"/>
  <c r="K25" i="1"/>
  <c r="J25" i="1"/>
  <c r="J31" i="1"/>
  <c r="K31" i="1"/>
  <c r="J36" i="1"/>
  <c r="K36" i="1"/>
  <c r="K44" i="1"/>
  <c r="J44" i="1"/>
  <c r="K50" i="1"/>
  <c r="K54" i="1"/>
  <c r="J54" i="1"/>
  <c r="K69" i="1"/>
  <c r="J69" i="1"/>
  <c r="J16" i="1"/>
  <c r="K16" i="1"/>
  <c r="J20" i="1"/>
  <c r="K20" i="1"/>
  <c r="K26" i="1"/>
  <c r="J26" i="1"/>
  <c r="J32" i="1"/>
  <c r="K32" i="1"/>
  <c r="J38" i="1"/>
  <c r="K38" i="1"/>
  <c r="K45" i="1"/>
  <c r="J45" i="1"/>
  <c r="K55" i="1"/>
  <c r="J55" i="1"/>
  <c r="K64" i="1"/>
  <c r="J64" i="1"/>
  <c r="K70" i="1"/>
  <c r="J70" i="1"/>
  <c r="J7" i="1"/>
  <c r="K7" i="1"/>
  <c r="J17" i="1"/>
  <c r="K17" i="1"/>
  <c r="J21" i="1"/>
  <c r="K21" i="1"/>
  <c r="K66" i="1"/>
  <c r="J66" i="1"/>
  <c r="G9" i="1"/>
  <c r="K13" i="1"/>
  <c r="G14" i="1"/>
  <c r="G29" i="1"/>
  <c r="G40" i="1"/>
  <c r="E46" i="1"/>
  <c r="F56" i="1"/>
  <c r="F71" i="1"/>
  <c r="F27" i="1"/>
  <c r="J33" i="1"/>
  <c r="J48" i="1"/>
  <c r="J49" i="1"/>
  <c r="J58" i="1"/>
  <c r="J60" i="1"/>
  <c r="J62" i="1" s="1"/>
  <c r="J61" i="1"/>
  <c r="K18" i="1" l="1"/>
  <c r="J50" i="1"/>
  <c r="J9" i="1"/>
  <c r="J11" i="1" s="1"/>
  <c r="K9" i="1"/>
  <c r="K11" i="1" s="1"/>
  <c r="J29" i="1"/>
  <c r="J34" i="1" s="1"/>
  <c r="K29" i="1"/>
  <c r="K34" i="1" s="1"/>
  <c r="K27" i="1"/>
  <c r="J71" i="1"/>
  <c r="J14" i="1"/>
  <c r="J23" i="1" s="1"/>
  <c r="J74" i="1" s="1"/>
  <c r="K14" i="1"/>
  <c r="J46" i="1"/>
  <c r="K71" i="1"/>
  <c r="J56" i="1"/>
  <c r="K46" i="1"/>
  <c r="J40" i="1"/>
  <c r="J42" i="1" s="1"/>
  <c r="K40" i="1"/>
  <c r="K42" i="1" s="1"/>
  <c r="K56" i="1"/>
  <c r="J27" i="1"/>
  <c r="K23" i="1" l="1"/>
  <c r="K74" i="1" s="1"/>
  <c r="J125" i="1" s="1"/>
</calcChain>
</file>

<file path=xl/sharedStrings.xml><?xml version="1.0" encoding="utf-8"?>
<sst xmlns="http://schemas.openxmlformats.org/spreadsheetml/2006/main" count="156" uniqueCount="134">
  <si>
    <t>School Districts and Charter Schools Supplemental At-Risk Aid</t>
  </si>
  <si>
    <t>FY 2019-20</t>
  </si>
  <si>
    <t>County</t>
  </si>
  <si>
    <t>Authorizing District</t>
  </si>
  <si>
    <t>District Charter Schools (Not Currently Subject to Alternate At-Risk Calculation)</t>
  </si>
  <si>
    <t>Funded Pupil Count</t>
  </si>
  <si>
    <t>Sum of K-12 Membership Count</t>
  </si>
  <si>
    <t>Sum of Free Lunch Count</t>
  </si>
  <si>
    <t>School At-risk Student Percentage</t>
  </si>
  <si>
    <t>District At-Risk Student Percentage</t>
  </si>
  <si>
    <t>School Funding Change</t>
  </si>
  <si>
    <t>Hold Harmless Payment for District</t>
  </si>
  <si>
    <t>Hold Harmless Payment for Charter</t>
  </si>
  <si>
    <t>ARAPAHOE</t>
  </si>
  <si>
    <t xml:space="preserve">ADAMS-ARAPAHOE 28J </t>
  </si>
  <si>
    <t xml:space="preserve">AURORA ACADEMY CHARTER SCHOOL </t>
  </si>
  <si>
    <t>BOULDER</t>
  </si>
  <si>
    <t xml:space="preserve">BOULDER VALLEY RE 2 </t>
  </si>
  <si>
    <t xml:space="preserve">BOULDER PREP CHARTER HIGH SCHOOL </t>
  </si>
  <si>
    <t>JUSTICE HIGH CHARTER SCHOOL</t>
  </si>
  <si>
    <t>District Charter Total</t>
  </si>
  <si>
    <t>DENVER</t>
  </si>
  <si>
    <t xml:space="preserve">DENVER COUNTY 1 </t>
  </si>
  <si>
    <t xml:space="preserve">ACE COMMUNITY CHALLENGE CHARTER SCHOOL </t>
  </si>
  <si>
    <t xml:space="preserve">COLORADO HIGH SCHOOL </t>
  </si>
  <si>
    <t xml:space="preserve">KIPP SUNSHINE PEAK ACADEMY </t>
  </si>
  <si>
    <t xml:space="preserve">ODYSSEY CHARTER ELEMENTARY SCHOOL </t>
  </si>
  <si>
    <t xml:space="preserve">RIDGE VIEW ACADEMY CHARTER SCHOOL </t>
  </si>
  <si>
    <t xml:space="preserve">WYATT-EDISON CHARTER ELEMENTARY SCHOOL </t>
  </si>
  <si>
    <t>DSST - STAPLETON</t>
  </si>
  <si>
    <t>HIGHLINE ACADEMY CHARTER SCHOOL</t>
  </si>
  <si>
    <t>OMAR D. BLAIR CHARTER SCHOOL</t>
  </si>
  <si>
    <t>SOUTHWEST EARLY COLLEGE</t>
  </si>
  <si>
    <t xml:space="preserve"> </t>
  </si>
  <si>
    <t>EL PASO</t>
  </si>
  <si>
    <t>HARRISON 2</t>
  </si>
  <si>
    <t xml:space="preserve">JAMES IRWIN CHARTER HIGH SCHOOL </t>
  </si>
  <si>
    <t xml:space="preserve">JAMES IRWIN CHARTER MIDDLE SCHOOL </t>
  </si>
  <si>
    <t xml:space="preserve">COLORADO SPRINGS 11 </t>
  </si>
  <si>
    <t xml:space="preserve">CIVA CHARTER ACADEMY </t>
  </si>
  <si>
    <t xml:space="preserve">COMMUNITY PREP CHARTER SCHOOL </t>
  </si>
  <si>
    <t xml:space="preserve">GLOBE CHARTER SCHOOL </t>
  </si>
  <si>
    <t xml:space="preserve">ROOSEVELT EDISON CHARTER SCHOOL </t>
  </si>
  <si>
    <t>LIFE SKILLS</t>
  </si>
  <si>
    <t>FREMONT</t>
  </si>
  <si>
    <t xml:space="preserve">CANON CITY RE-1 </t>
  </si>
  <si>
    <t xml:space="preserve">MOUNT VIEW CORE KNOWLEDGE CHARTER SCHOOL </t>
  </si>
  <si>
    <t>GUNNISION</t>
  </si>
  <si>
    <t xml:space="preserve">GUNNISON WATERSHED RE1J </t>
  </si>
  <si>
    <t xml:space="preserve">MARBLE CHARTER SCHOOL </t>
  </si>
  <si>
    <t>JEFFERSON</t>
  </si>
  <si>
    <t>NEW AMERICA CHARTER SCHOOL</t>
  </si>
  <si>
    <t xml:space="preserve">ROCKY MOUNTAIN DEAF SCHOOL </t>
  </si>
  <si>
    <t>MONTEZUMA</t>
  </si>
  <si>
    <t xml:space="preserve">MONTEZUMA-CORTEZ RE-1 </t>
  </si>
  <si>
    <t xml:space="preserve">BATTLE ROCK CHARTER SCHOOL </t>
  </si>
  <si>
    <t xml:space="preserve">SOUTHWEST OPEN CHARTER SCHOOL </t>
  </si>
  <si>
    <t>MONTROSE</t>
  </si>
  <si>
    <t xml:space="preserve">MONTROSE COUNTY RE-1J </t>
  </si>
  <si>
    <t xml:space="preserve">PASSAGE CHARTER SCHOOL </t>
  </si>
  <si>
    <t>VISTA CHARTER SCHOOL</t>
  </si>
  <si>
    <t xml:space="preserve">WEST END RE-2 </t>
  </si>
  <si>
    <t xml:space="preserve">PARADOX VALLEY CHARTER SCHOOL </t>
  </si>
  <si>
    <t>PARK</t>
  </si>
  <si>
    <t xml:space="preserve">PARK COUNTY RE-2 </t>
  </si>
  <si>
    <t xml:space="preserve">GUFFEY CHARTER SCHOOL </t>
  </si>
  <si>
    <t xml:space="preserve">LAKE GEORGE CHARTER SCHOOL </t>
  </si>
  <si>
    <t>PROWERS</t>
  </si>
  <si>
    <t xml:space="preserve">LAMAR RE-2 </t>
  </si>
  <si>
    <t xml:space="preserve">ALTA VISTA CHARTER SCHOOL </t>
  </si>
  <si>
    <t>PUEBLO</t>
  </si>
  <si>
    <t xml:space="preserve">PUEBLO CITY 60 </t>
  </si>
  <si>
    <t xml:space="preserve">CESAR CHAVEZ ACADEMY </t>
  </si>
  <si>
    <t xml:space="preserve">PUEBLO CHARTER SCHOOL FOR THE ARTS &amp; SCIENCES </t>
  </si>
  <si>
    <t>SAGUACHE</t>
  </si>
  <si>
    <t xml:space="preserve">MOFFAT 2 </t>
  </si>
  <si>
    <t xml:space="preserve">CRESTONE CHARTER SCHOOL </t>
  </si>
  <si>
    <t>WELD</t>
  </si>
  <si>
    <t xml:space="preserve">KEENESBURG RE-3(J) </t>
  </si>
  <si>
    <t xml:space="preserve">CARDINAL COMMUNITY ACADEMY CHARTER SCHOOL </t>
  </si>
  <si>
    <t xml:space="preserve">GREELEY 6 </t>
  </si>
  <si>
    <t xml:space="preserve">FRONTIER CHARTER ACADEMY </t>
  </si>
  <si>
    <t>UNIVERSITY SCHOOLS</t>
  </si>
  <si>
    <t xml:space="preserve">UNION COLONY PREPARATORY SCHOOL </t>
  </si>
  <si>
    <t>Total - All District Charter Schools</t>
  </si>
  <si>
    <t>CSI - Authorized Charter Schools Impacted by SB12-103</t>
  </si>
  <si>
    <t>Charter Institute Schools Supplemental At-Risk Aid</t>
  </si>
  <si>
    <t>Accounting District</t>
  </si>
  <si>
    <t>CSI Charter Schools (Currently Subject to Alternate At-Risk Calculation)</t>
  </si>
  <si>
    <t>School At-risk Student %</t>
  </si>
  <si>
    <t>Accounting District At-Risk Student %</t>
  </si>
  <si>
    <t>School Funding Change*</t>
  </si>
  <si>
    <t>ADAMS</t>
  </si>
  <si>
    <t>ADAMS 12 FIVE STAR</t>
  </si>
  <si>
    <t xml:space="preserve">THE ACADEMY OF CHARTER SCHOOLS </t>
  </si>
  <si>
    <t>GLOBAL VILLAGE ACADEMY - NORTHGLENN</t>
  </si>
  <si>
    <t>ADAMS 14</t>
  </si>
  <si>
    <t>COMMUNITY LEADERSHIP ACADEMY</t>
  </si>
  <si>
    <t>WESTMINSTER</t>
  </si>
  <si>
    <t>CROWNE POINT CHARTER ACADEMY</t>
  </si>
  <si>
    <t>EARLY COLLEGE OF ARVADA</t>
  </si>
  <si>
    <t>RICARDO FLORES MAGNON ACADEMY</t>
  </si>
  <si>
    <t>ADAMS-ARAPAHOE 28J</t>
  </si>
  <si>
    <t>COLORADO EARLY COLLEGES AURORA</t>
  </si>
  <si>
    <t>MONTESSORI DEL MUNDO</t>
  </si>
  <si>
    <t>NEW AMERICA SCHOOL</t>
  </si>
  <si>
    <t>CHAFFEE</t>
  </si>
  <si>
    <t>SALIDA</t>
  </si>
  <si>
    <t>SALIDA MONTESSORI</t>
  </si>
  <si>
    <t>DOUGLAS</t>
  </si>
  <si>
    <t>COLORADO EARLY COLLEGES - DOUGLAS</t>
  </si>
  <si>
    <t>EAGLE</t>
  </si>
  <si>
    <t>STONE CREEK</t>
  </si>
  <si>
    <t>COLORADO SPRINGS 11</t>
  </si>
  <si>
    <t>COLORADO MILITARY ACADEMY</t>
  </si>
  <si>
    <t>COLORADO SPRINGS CHARTER ACADEMY</t>
  </si>
  <si>
    <t>COLORADO SPRINGS EARLY COLLEGES</t>
  </si>
  <si>
    <t>GVA - COLORADO SPRINGS</t>
  </si>
  <si>
    <t>JAMES IRWIN - COLORADO SPRINGS</t>
  </si>
  <si>
    <t>LAUNCH HIGH SCHOOL</t>
  </si>
  <si>
    <t>MACLAREN CHARTER SCHOOL</t>
  </si>
  <si>
    <t>MOUNTAIN SONG COMMUNITY SCHOOL</t>
  </si>
  <si>
    <t>GARFIELD</t>
  </si>
  <si>
    <t>ROARING FORK</t>
  </si>
  <si>
    <t>ROSS MONTESSORI</t>
  </si>
  <si>
    <t>TWO RIVERS CHARTER SCHOOL</t>
  </si>
  <si>
    <t>LA PLATA</t>
  </si>
  <si>
    <t>DURANGO</t>
  </si>
  <si>
    <t>ANIMAS</t>
  </si>
  <si>
    <t>MOUNTAIN MIDDLE</t>
  </si>
  <si>
    <t>ROUTT</t>
  </si>
  <si>
    <t>STEAMBOAT SPRINGS</t>
  </si>
  <si>
    <t>MOUNTAIN VILLAGE MONTESSORI</t>
  </si>
  <si>
    <t>Total - All CSI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</si>
</sst>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0.0%"/>
    <numFmt numFmtId="166" formatCode="&quot;$&quot;#,##0.00"/>
    <numFmt numFmtId="167" formatCode="0.0"/>
    <numFmt numFmtId="168" formatCode="0.0000%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0" fontId="5" fillId="0" borderId="0"/>
  </cellStyleXfs>
  <cellXfs count="103">
    <xf numFmtId="0" fontId="0" fillId="0" borderId="0" xfId="0"/>
    <xf numFmtId="0" fontId="2" fillId="0" borderId="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wrapText="1"/>
    </xf>
    <xf numFmtId="0" fontId="2" fillId="2" borderId="2" xfId="0" applyNumberFormat="1" applyFont="1" applyFill="1" applyBorder="1" applyAlignment="1" applyProtection="1">
      <alignment wrapText="1"/>
    </xf>
    <xf numFmtId="0" fontId="2" fillId="2" borderId="3" xfId="0" applyNumberFormat="1" applyFont="1" applyFill="1" applyBorder="1" applyAlignment="1" applyProtection="1">
      <alignment horizontal="center" wrapText="1"/>
    </xf>
    <xf numFmtId="0" fontId="2" fillId="2" borderId="4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2" fillId="2" borderId="5" xfId="0" applyNumberFormat="1" applyFont="1" applyFill="1" applyBorder="1" applyAlignment="1" applyProtection="1">
      <alignment horizontal="center" wrapText="1"/>
    </xf>
    <xf numFmtId="0" fontId="2" fillId="2" borderId="6" xfId="0" applyNumberFormat="1" applyFont="1" applyFill="1" applyBorder="1" applyAlignment="1" applyProtection="1">
      <alignment horizontal="center" wrapText="1"/>
    </xf>
    <xf numFmtId="0" fontId="2" fillId="2" borderId="7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0" borderId="9" xfId="0" applyNumberFormat="1" applyFont="1" applyFill="1" applyBorder="1" applyAlignment="1" applyProtection="1">
      <alignment horizontal="right"/>
    </xf>
    <xf numFmtId="7" fontId="3" fillId="0" borderId="8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166" fontId="3" fillId="0" borderId="7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/>
    <xf numFmtId="166" fontId="2" fillId="0" borderId="8" xfId="0" applyNumberFormat="1" applyFont="1" applyFill="1" applyBorder="1" applyAlignment="1" applyProtection="1">
      <alignment horizontal="right"/>
    </xf>
    <xf numFmtId="166" fontId="2" fillId="0" borderId="9" xfId="0" applyNumberFormat="1" applyFont="1" applyFill="1" applyBorder="1" applyAlignment="1" applyProtection="1">
      <alignment horizontal="right"/>
    </xf>
    <xf numFmtId="166" fontId="3" fillId="0" borderId="8" xfId="0" applyNumberFormat="1" applyFont="1" applyFill="1" applyBorder="1" applyAlignment="1" applyProtection="1">
      <alignment horizontal="right"/>
    </xf>
    <xf numFmtId="166" fontId="3" fillId="0" borderId="9" xfId="0" applyNumberFormat="1" applyFont="1" applyFill="1" applyBorder="1" applyAlignment="1" applyProtection="1">
      <alignment horizontal="right"/>
    </xf>
    <xf numFmtId="43" fontId="3" fillId="0" borderId="8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right"/>
    </xf>
    <xf numFmtId="7" fontId="2" fillId="0" borderId="8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7" fontId="3" fillId="0" borderId="0" xfId="0" applyNumberFormat="1" applyFont="1" applyFill="1" applyBorder="1" applyAlignment="1" applyProtection="1"/>
    <xf numFmtId="7" fontId="2" fillId="0" borderId="9" xfId="0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43" fontId="3" fillId="0" borderId="9" xfId="0" applyNumberFormat="1" applyFont="1" applyFill="1" applyBorder="1" applyAlignment="1" applyProtection="1">
      <alignment horizontal="right"/>
    </xf>
    <xf numFmtId="43" fontId="2" fillId="0" borderId="8" xfId="0" applyNumberFormat="1" applyFont="1" applyFill="1" applyBorder="1" applyAlignment="1" applyProtection="1">
      <alignment horizontal="right"/>
    </xf>
    <xf numFmtId="164" fontId="2" fillId="0" borderId="8" xfId="0" applyNumberFormat="1" applyFont="1" applyFill="1" applyBorder="1" applyAlignment="1" applyProtection="1">
      <alignment horizontal="right"/>
    </xf>
    <xf numFmtId="10" fontId="3" fillId="0" borderId="0" xfId="1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5" fontId="3" fillId="0" borderId="8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right"/>
    </xf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3" fontId="3" fillId="0" borderId="12" xfId="0" applyNumberFormat="1" applyFont="1" applyFill="1" applyBorder="1" applyAlignment="1" applyProtection="1">
      <alignment horizontal="right"/>
    </xf>
    <xf numFmtId="0" fontId="3" fillId="0" borderId="12" xfId="0" applyNumberFormat="1" applyFont="1" applyFill="1" applyBorder="1" applyAlignment="1" applyProtection="1"/>
    <xf numFmtId="165" fontId="3" fillId="0" borderId="12" xfId="0" applyNumberFormat="1" applyFont="1" applyFill="1" applyBorder="1" applyAlignment="1" applyProtection="1">
      <alignment horizontal="right"/>
    </xf>
    <xf numFmtId="165" fontId="3" fillId="0" borderId="11" xfId="0" applyNumberFormat="1" applyFont="1" applyFill="1" applyBorder="1" applyAlignment="1" applyProtection="1">
      <alignment horizontal="right"/>
    </xf>
    <xf numFmtId="5" fontId="2" fillId="0" borderId="8" xfId="0" applyNumberFormat="1" applyFont="1" applyFill="1" applyBorder="1" applyAlignment="1" applyProtection="1">
      <alignment horizontal="right"/>
    </xf>
    <xf numFmtId="5" fontId="2" fillId="0" borderId="10" xfId="0" applyNumberFormat="1" applyFont="1" applyFill="1" applyBorder="1" applyAlignment="1" applyProtection="1">
      <alignment horizontal="right"/>
    </xf>
    <xf numFmtId="5" fontId="2" fillId="0" borderId="11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>
      <alignment horizontal="right"/>
    </xf>
    <xf numFmtId="0" fontId="3" fillId="2" borderId="3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horizontal="right"/>
    </xf>
    <xf numFmtId="7" fontId="2" fillId="2" borderId="5" xfId="0" applyNumberFormat="1" applyFont="1" applyFill="1" applyBorder="1" applyAlignment="1" applyProtection="1">
      <alignment horizontal="right"/>
    </xf>
    <xf numFmtId="7" fontId="2" fillId="2" borderId="10" xfId="0" applyNumberFormat="1" applyFont="1" applyFill="1" applyBorder="1" applyAlignment="1" applyProtection="1">
      <alignment horizontal="right"/>
    </xf>
    <xf numFmtId="7" fontId="2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5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165" fontId="3" fillId="0" borderId="9" xfId="0" applyNumberFormat="1" applyFont="1" applyFill="1" applyBorder="1" applyAlignment="1" applyProtection="1">
      <alignment horizontal="center" wrapText="1"/>
    </xf>
    <xf numFmtId="7" fontId="3" fillId="0" borderId="0" xfId="0" applyNumberFormat="1" applyFont="1" applyFill="1" applyBorder="1" applyAlignment="1" applyProtection="1">
      <alignment horizontal="right" wrapText="1"/>
    </xf>
    <xf numFmtId="0" fontId="2" fillId="0" borderId="8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>
      <alignment horizontal="center" wrapText="1"/>
    </xf>
    <xf numFmtId="167" fontId="3" fillId="0" borderId="0" xfId="0" applyNumberFormat="1" applyFont="1" applyFill="1" applyBorder="1" applyAlignment="1" applyProtection="1">
      <alignment wrapText="1"/>
    </xf>
    <xf numFmtId="165" fontId="3" fillId="0" borderId="0" xfId="0" applyNumberFormat="1" applyFont="1" applyFill="1" applyBorder="1" applyAlignment="1" applyProtection="1">
      <alignment horizontal="center" wrapText="1"/>
    </xf>
    <xf numFmtId="7" fontId="3" fillId="0" borderId="9" xfId="0" applyNumberFormat="1" applyFont="1" applyFill="1" applyBorder="1" applyAlignment="1" applyProtection="1">
      <alignment horizontal="right" wrapText="1"/>
    </xf>
    <xf numFmtId="0" fontId="3" fillId="0" borderId="8" xfId="0" applyFont="1" applyBorder="1"/>
    <xf numFmtId="167" fontId="3" fillId="0" borderId="0" xfId="2" applyNumberFormat="1" applyFont="1" applyBorder="1" applyAlignment="1"/>
    <xf numFmtId="0" fontId="3" fillId="0" borderId="8" xfId="0" applyFont="1" applyFill="1" applyBorder="1"/>
    <xf numFmtId="0" fontId="2" fillId="0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wrapText="1"/>
    </xf>
    <xf numFmtId="167" fontId="2" fillId="0" borderId="0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9" xfId="0" applyNumberFormat="1" applyFont="1" applyFill="1" applyBorder="1" applyAlignment="1" applyProtection="1">
      <alignment horizontal="center" wrapText="1"/>
    </xf>
    <xf numFmtId="0" fontId="3" fillId="0" borderId="9" xfId="0" applyFont="1" applyBorder="1"/>
    <xf numFmtId="0" fontId="3" fillId="0" borderId="8" xfId="0" applyFont="1" applyBorder="1" applyAlignment="1">
      <alignment horizontal="left" wrapText="1"/>
    </xf>
    <xf numFmtId="7" fontId="3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left"/>
    </xf>
    <xf numFmtId="7" fontId="3" fillId="0" borderId="9" xfId="0" applyNumberFormat="1" applyFont="1" applyFill="1" applyBorder="1" applyAlignment="1" applyProtection="1">
      <alignment horizontal="right"/>
    </xf>
    <xf numFmtId="3" fontId="3" fillId="0" borderId="0" xfId="2" applyNumberFormat="1" applyFont="1" applyBorder="1"/>
    <xf numFmtId="7" fontId="2" fillId="2" borderId="3" xfId="0" applyNumberFormat="1" applyFont="1" applyFill="1" applyBorder="1" applyAlignment="1" applyProtection="1">
      <alignment horizontal="right"/>
    </xf>
    <xf numFmtId="7" fontId="2" fillId="2" borderId="2" xfId="0" applyNumberFormat="1" applyFont="1" applyFill="1" applyBorder="1" applyAlignment="1" applyProtection="1">
      <alignment horizontal="right"/>
    </xf>
    <xf numFmtId="0" fontId="4" fillId="0" borderId="0" xfId="0" applyFont="1" applyFill="1"/>
    <xf numFmtId="40" fontId="3" fillId="0" borderId="0" xfId="3" applyFont="1" applyFill="1"/>
    <xf numFmtId="49" fontId="4" fillId="0" borderId="0" xfId="0" quotePrefix="1" applyNumberFormat="1" applyFont="1" applyFill="1"/>
    <xf numFmtId="40" fontId="4" fillId="0" borderId="0" xfId="0" applyNumberFormat="1" applyFont="1" applyFill="1" applyBorder="1"/>
    <xf numFmtId="164" fontId="3" fillId="0" borderId="0" xfId="3" applyNumberFormat="1" applyFont="1" applyFill="1" applyBorder="1" applyAlignment="1">
      <alignment horizontal="right" wrapText="1"/>
    </xf>
    <xf numFmtId="168" fontId="3" fillId="0" borderId="0" xfId="1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</cellXfs>
  <cellStyles count="4">
    <cellStyle name="Comma 4" xfId="2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9-20%20Supplemental%20At-Risk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Harrison"/>
      <sheetName val="CO springs"/>
      <sheetName val="Chey MT"/>
      <sheetName val="Canon City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Denver"/>
      <sheetName val="Inputs"/>
      <sheetName val="FY2019-20 Supplemental Aid"/>
      <sheetName val="Accounting"/>
      <sheetName val="CSI"/>
      <sheetName val="Email List"/>
      <sheetName val="Sheet1"/>
    </sheetNames>
    <sheetDataSet>
      <sheetData sheetId="0"/>
      <sheetData sheetId="1"/>
      <sheetData sheetId="2">
        <row r="6">
          <cell r="E6">
            <v>528.20000000000005</v>
          </cell>
        </row>
        <row r="12">
          <cell r="E12">
            <v>315</v>
          </cell>
        </row>
        <row r="17">
          <cell r="E17">
            <v>520</v>
          </cell>
        </row>
        <row r="18">
          <cell r="B18">
            <v>0.67920000000000003</v>
          </cell>
        </row>
        <row r="33">
          <cell r="E33">
            <v>-54578.959999999963</v>
          </cell>
        </row>
      </sheetData>
      <sheetData sheetId="3">
        <row r="6">
          <cell r="E6">
            <v>106</v>
          </cell>
          <cell r="F6">
            <v>89.5</v>
          </cell>
        </row>
        <row r="12">
          <cell r="E12">
            <v>21</v>
          </cell>
          <cell r="F12">
            <v>72</v>
          </cell>
        </row>
        <row r="17">
          <cell r="E17">
            <v>117</v>
          </cell>
          <cell r="F17">
            <v>98</v>
          </cell>
        </row>
        <row r="18">
          <cell r="B18">
            <v>0.17710000000000001</v>
          </cell>
        </row>
        <row r="33">
          <cell r="E33">
            <v>389.59999999997672</v>
          </cell>
          <cell r="F33">
            <v>52901.950365116238</v>
          </cell>
        </row>
      </sheetData>
      <sheetData sheetId="4">
        <row r="6">
          <cell r="E6">
            <v>440.5</v>
          </cell>
          <cell r="F6">
            <v>471</v>
          </cell>
        </row>
        <row r="12">
          <cell r="E12">
            <v>122</v>
          </cell>
          <cell r="F12">
            <v>141</v>
          </cell>
        </row>
        <row r="17">
          <cell r="E17">
            <v>441</v>
          </cell>
          <cell r="F17">
            <v>471</v>
          </cell>
        </row>
        <row r="18">
          <cell r="B18">
            <v>0.67669999999999997</v>
          </cell>
        </row>
        <row r="33">
          <cell r="E33">
            <v>-246098.87000000011</v>
          </cell>
          <cell r="F33">
            <v>-248192.71890357649</v>
          </cell>
        </row>
      </sheetData>
      <sheetData sheetId="5">
        <row r="6">
          <cell r="E6">
            <v>178</v>
          </cell>
          <cell r="F6">
            <v>198</v>
          </cell>
          <cell r="G6">
            <v>181.4</v>
          </cell>
          <cell r="H6">
            <v>593.4</v>
          </cell>
          <cell r="I6">
            <v>139</v>
          </cell>
        </row>
        <row r="12">
          <cell r="E12">
            <v>38</v>
          </cell>
          <cell r="F12">
            <v>68</v>
          </cell>
          <cell r="G12">
            <v>77</v>
          </cell>
          <cell r="H12">
            <v>452</v>
          </cell>
        </row>
        <row r="17">
          <cell r="E17">
            <v>179</v>
          </cell>
          <cell r="F17">
            <v>228</v>
          </cell>
          <cell r="G17">
            <v>176</v>
          </cell>
          <cell r="H17">
            <v>582</v>
          </cell>
        </row>
        <row r="18">
          <cell r="B18">
            <v>0.4829</v>
          </cell>
        </row>
        <row r="33">
          <cell r="E33">
            <v>-50984.169999999925</v>
          </cell>
          <cell r="F33">
            <v>-38637.310000000056</v>
          </cell>
          <cell r="G33">
            <v>-8570.1300000001211</v>
          </cell>
          <cell r="H33">
            <v>185696.38999999966</v>
          </cell>
          <cell r="I33">
            <v>-16812.55704073282</v>
          </cell>
        </row>
      </sheetData>
      <sheetData sheetId="6"/>
      <sheetData sheetId="7">
        <row r="6">
          <cell r="E6">
            <v>256.3</v>
          </cell>
        </row>
        <row r="12">
          <cell r="E12">
            <v>59</v>
          </cell>
        </row>
        <row r="17">
          <cell r="E17">
            <v>252</v>
          </cell>
        </row>
        <row r="18">
          <cell r="B18">
            <v>0.50729999999999997</v>
          </cell>
        </row>
        <row r="33">
          <cell r="E33">
            <v>-72314.270000000019</v>
          </cell>
        </row>
      </sheetData>
      <sheetData sheetId="8">
        <row r="6">
          <cell r="E6">
            <v>49.6</v>
          </cell>
        </row>
        <row r="12">
          <cell r="E12">
            <v>7</v>
          </cell>
        </row>
        <row r="17">
          <cell r="E17">
            <v>48</v>
          </cell>
        </row>
        <row r="18">
          <cell r="B18">
            <v>0.1938</v>
          </cell>
        </row>
        <row r="33">
          <cell r="E33">
            <v>-2456.4700000000303</v>
          </cell>
        </row>
      </sheetData>
      <sheetData sheetId="9">
        <row r="6">
          <cell r="E6">
            <v>56.5</v>
          </cell>
          <cell r="F6">
            <v>148</v>
          </cell>
        </row>
        <row r="12">
          <cell r="E12">
            <v>23</v>
          </cell>
          <cell r="F12">
            <v>104</v>
          </cell>
        </row>
        <row r="17">
          <cell r="E17">
            <v>57</v>
          </cell>
          <cell r="F17">
            <v>152</v>
          </cell>
        </row>
        <row r="18">
          <cell r="B18">
            <v>0.25850000000000001</v>
          </cell>
        </row>
        <row r="33">
          <cell r="E33">
            <v>8489.359999999986</v>
          </cell>
          <cell r="F33">
            <v>64975.689131536288</v>
          </cell>
        </row>
      </sheetData>
      <sheetData sheetId="10">
        <row r="6">
          <cell r="E6">
            <v>74.8</v>
          </cell>
          <cell r="F6">
            <v>120.5</v>
          </cell>
        </row>
        <row r="12">
          <cell r="E12">
            <v>40</v>
          </cell>
          <cell r="F12">
            <v>79</v>
          </cell>
        </row>
        <row r="17">
          <cell r="E17">
            <v>77</v>
          </cell>
          <cell r="F17">
            <v>122</v>
          </cell>
        </row>
        <row r="18">
          <cell r="B18">
            <v>0.56120000000000003</v>
          </cell>
        </row>
        <row r="33">
          <cell r="E33">
            <v>-3582.9404977613594</v>
          </cell>
          <cell r="F33">
            <v>11877.651978873531</v>
          </cell>
        </row>
      </sheetData>
      <sheetData sheetId="11">
        <row r="6">
          <cell r="E6">
            <v>0</v>
          </cell>
          <cell r="F6">
            <v>207.5</v>
          </cell>
        </row>
        <row r="12">
          <cell r="E12">
            <v>0</v>
          </cell>
          <cell r="F12">
            <v>99</v>
          </cell>
        </row>
        <row r="17">
          <cell r="E17">
            <v>0</v>
          </cell>
          <cell r="F17">
            <v>209</v>
          </cell>
        </row>
        <row r="18">
          <cell r="B18">
            <v>0.41160000000000002</v>
          </cell>
        </row>
        <row r="33">
          <cell r="E33">
            <v>0</v>
          </cell>
          <cell r="F33">
            <v>13404.325654197251</v>
          </cell>
        </row>
      </sheetData>
      <sheetData sheetId="12">
        <row r="6">
          <cell r="E6">
            <v>29</v>
          </cell>
        </row>
        <row r="12">
          <cell r="E12">
            <v>8</v>
          </cell>
        </row>
        <row r="17">
          <cell r="E17">
            <v>28</v>
          </cell>
        </row>
        <row r="18">
          <cell r="B18">
            <v>0.41830000000000001</v>
          </cell>
        </row>
        <row r="33">
          <cell r="E33">
            <v>-5426.2399999999907</v>
          </cell>
        </row>
      </sheetData>
      <sheetData sheetId="13">
        <row r="6">
          <cell r="E6">
            <v>38.799999999999997</v>
          </cell>
          <cell r="F6">
            <v>133</v>
          </cell>
        </row>
        <row r="12">
          <cell r="E12">
            <v>11</v>
          </cell>
          <cell r="F12">
            <v>43</v>
          </cell>
        </row>
        <row r="17">
          <cell r="E17">
            <v>38</v>
          </cell>
          <cell r="F17">
            <v>130</v>
          </cell>
        </row>
        <row r="18">
          <cell r="B18">
            <v>0.3387</v>
          </cell>
        </row>
        <row r="33">
          <cell r="E33">
            <v>-2153.9500000000116</v>
          </cell>
          <cell r="F33">
            <v>-1189.5800000000745</v>
          </cell>
        </row>
      </sheetData>
      <sheetData sheetId="14">
        <row r="6">
          <cell r="E6">
            <v>135.19999999999999</v>
          </cell>
        </row>
        <row r="12">
          <cell r="E12">
            <v>39</v>
          </cell>
        </row>
        <row r="17">
          <cell r="E17">
            <v>132</v>
          </cell>
        </row>
        <row r="18">
          <cell r="E18">
            <v>0.29545454545454547</v>
          </cell>
        </row>
        <row r="33">
          <cell r="E33">
            <v>-55882.520000000019</v>
          </cell>
        </row>
      </sheetData>
      <sheetData sheetId="15">
        <row r="6">
          <cell r="E6">
            <v>1033.9000000000001</v>
          </cell>
          <cell r="F6">
            <v>461</v>
          </cell>
        </row>
        <row r="12">
          <cell r="E12">
            <v>749</v>
          </cell>
          <cell r="F12">
            <v>186</v>
          </cell>
        </row>
        <row r="17">
          <cell r="E17">
            <v>1026</v>
          </cell>
          <cell r="F17">
            <v>454</v>
          </cell>
        </row>
        <row r="18">
          <cell r="B18">
            <v>0.71679999999999999</v>
          </cell>
        </row>
        <row r="33">
          <cell r="E33">
            <v>18411.009999999776</v>
          </cell>
          <cell r="F33">
            <v>-190998.12999999989</v>
          </cell>
        </row>
      </sheetData>
      <sheetData sheetId="16">
        <row r="6">
          <cell r="E6">
            <v>89.1</v>
          </cell>
        </row>
        <row r="12">
          <cell r="E12">
            <v>62</v>
          </cell>
        </row>
        <row r="17">
          <cell r="E17">
            <v>88</v>
          </cell>
        </row>
        <row r="18">
          <cell r="B18">
            <v>0.76419999999999999</v>
          </cell>
        </row>
        <row r="33">
          <cell r="E33">
            <v>-8892.4099999999162</v>
          </cell>
        </row>
      </sheetData>
      <sheetData sheetId="17">
        <row r="6">
          <cell r="E6">
            <v>191.2</v>
          </cell>
        </row>
        <row r="12">
          <cell r="E12">
            <v>9</v>
          </cell>
        </row>
        <row r="17">
          <cell r="E17">
            <v>188</v>
          </cell>
        </row>
        <row r="18">
          <cell r="B18">
            <v>0.33050000000000002</v>
          </cell>
        </row>
        <row r="33">
          <cell r="E33">
            <v>-53768.5</v>
          </cell>
        </row>
      </sheetData>
      <sheetData sheetId="18">
        <row r="6">
          <cell r="E6">
            <v>1529.7</v>
          </cell>
          <cell r="F6">
            <v>1768.6</v>
          </cell>
          <cell r="G6">
            <v>868.4</v>
          </cell>
        </row>
        <row r="12">
          <cell r="E12">
            <v>204</v>
          </cell>
          <cell r="F12">
            <v>402</v>
          </cell>
          <cell r="G12">
            <v>408</v>
          </cell>
        </row>
        <row r="17">
          <cell r="E17">
            <v>1628</v>
          </cell>
          <cell r="F17">
            <v>1774</v>
          </cell>
          <cell r="G17">
            <v>864</v>
          </cell>
        </row>
        <row r="18">
          <cell r="B18">
            <v>0.51649999999999996</v>
          </cell>
        </row>
        <row r="33">
          <cell r="E33">
            <v>-680845.9299999997</v>
          </cell>
          <cell r="F33">
            <v>-583345.49000000022</v>
          </cell>
          <cell r="G33">
            <v>-43757.75</v>
          </cell>
        </row>
      </sheetData>
      <sheetData sheetId="19">
        <row r="6">
          <cell r="E6">
            <v>105</v>
          </cell>
          <cell r="F6">
            <v>268</v>
          </cell>
          <cell r="G6">
            <v>0</v>
          </cell>
          <cell r="H6">
            <v>430</v>
          </cell>
          <cell r="I6">
            <v>237.2</v>
          </cell>
          <cell r="K6">
            <v>183.3</v>
          </cell>
          <cell r="L6">
            <v>1051</v>
          </cell>
          <cell r="M6">
            <v>526.5</v>
          </cell>
          <cell r="N6">
            <v>725.4</v>
          </cell>
          <cell r="O6">
            <v>9</v>
          </cell>
        </row>
        <row r="12">
          <cell r="E12">
            <v>105</v>
          </cell>
          <cell r="F12">
            <v>219</v>
          </cell>
          <cell r="G12">
            <v>0</v>
          </cell>
          <cell r="H12">
            <v>303</v>
          </cell>
          <cell r="I12">
            <v>48</v>
          </cell>
          <cell r="K12">
            <v>153</v>
          </cell>
          <cell r="L12">
            <v>516</v>
          </cell>
          <cell r="M12">
            <v>174</v>
          </cell>
          <cell r="N12">
            <v>409</v>
          </cell>
          <cell r="O12">
            <v>4</v>
          </cell>
        </row>
        <row r="17">
          <cell r="E17">
            <v>109</v>
          </cell>
          <cell r="F17">
            <v>283</v>
          </cell>
          <cell r="G17">
            <v>0</v>
          </cell>
          <cell r="H17">
            <v>430</v>
          </cell>
          <cell r="I17">
            <v>233</v>
          </cell>
          <cell r="K17">
            <v>178</v>
          </cell>
          <cell r="L17">
            <v>1051</v>
          </cell>
          <cell r="M17">
            <v>520</v>
          </cell>
          <cell r="N17">
            <v>716</v>
          </cell>
          <cell r="O17">
            <v>9</v>
          </cell>
        </row>
        <row r="18">
          <cell r="B18">
            <v>0.54139999999999999</v>
          </cell>
        </row>
        <row r="33">
          <cell r="E33">
            <v>53832.70000000007</v>
          </cell>
          <cell r="F33">
            <v>75860.710000000428</v>
          </cell>
          <cell r="G33" t="str">
            <v/>
          </cell>
          <cell r="H33">
            <v>85648.409999999683</v>
          </cell>
          <cell r="I33">
            <v>-96119.119999999879</v>
          </cell>
          <cell r="K33">
            <v>70925.449999999953</v>
          </cell>
          <cell r="L33">
            <v>-62883.650780912489</v>
          </cell>
          <cell r="M33">
            <v>-131277.10154927801</v>
          </cell>
          <cell r="N33">
            <v>27174.187088171951</v>
          </cell>
          <cell r="O33">
            <v>-1045.9355733658158</v>
          </cell>
        </row>
      </sheetData>
      <sheetData sheetId="20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tabSelected="1" zoomScaleNormal="100" workbookViewId="0">
      <selection activeCell="J127" sqref="J127:J128"/>
    </sheetView>
  </sheetViews>
  <sheetFormatPr defaultColWidth="9.109375" defaultRowHeight="13.2" x14ac:dyDescent="0.25"/>
  <cols>
    <col min="1" max="1" width="14.5546875" style="2" customWidth="1"/>
    <col min="2" max="2" width="30" style="2" customWidth="1"/>
    <col min="3" max="3" width="50.109375" style="2" customWidth="1"/>
    <col min="4" max="4" width="11.6640625" style="2" customWidth="1"/>
    <col min="5" max="5" width="12.5546875" style="2" customWidth="1"/>
    <col min="6" max="6" width="13.5546875" style="2" customWidth="1"/>
    <col min="7" max="7" width="13.88671875" style="2" customWidth="1"/>
    <col min="8" max="8" width="14.44140625" style="2" customWidth="1"/>
    <col min="9" max="9" width="14" style="2" bestFit="1" customWidth="1"/>
    <col min="10" max="11" width="14.88671875" style="2" customWidth="1"/>
    <col min="12" max="12" width="9.109375" style="2"/>
    <col min="13" max="13" width="15.44140625" style="2" customWidth="1"/>
    <col min="14" max="14" width="14.88671875" style="2" customWidth="1"/>
    <col min="15" max="15" width="9.109375" style="2"/>
    <col min="16" max="17" width="12.33203125" style="2" bestFit="1" customWidth="1"/>
    <col min="18" max="16384" width="9.109375" style="2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8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M3" s="3"/>
      <c r="N3" s="3"/>
    </row>
    <row r="4" spans="1:14" ht="10.5" customHeight="1" thickBot="1" x14ac:dyDescent="0.3"/>
    <row r="5" spans="1:14" s="12" customFormat="1" ht="44.25" customHeight="1" thickBot="1" x14ac:dyDescent="0.3">
      <c r="A5" s="4" t="s">
        <v>2</v>
      </c>
      <c r="B5" s="5" t="s">
        <v>3</v>
      </c>
      <c r="C5" s="4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8" t="s">
        <v>9</v>
      </c>
      <c r="I5" s="9" t="s">
        <v>10</v>
      </c>
      <c r="J5" s="10" t="s">
        <v>11</v>
      </c>
      <c r="K5" s="11" t="s">
        <v>12</v>
      </c>
      <c r="M5" s="13"/>
      <c r="N5" s="13"/>
    </row>
    <row r="6" spans="1:14" x14ac:dyDescent="0.25">
      <c r="A6" s="14"/>
      <c r="B6" s="15"/>
      <c r="C6" s="14"/>
      <c r="D6" s="16"/>
      <c r="E6" s="17"/>
      <c r="F6" s="17"/>
      <c r="G6" s="18"/>
      <c r="H6" s="19"/>
      <c r="I6" s="20"/>
      <c r="J6" s="21"/>
      <c r="K6" s="22"/>
      <c r="M6" s="23"/>
      <c r="N6" s="23"/>
    </row>
    <row r="7" spans="1:14" x14ac:dyDescent="0.25">
      <c r="A7" s="14" t="s">
        <v>13</v>
      </c>
      <c r="B7" s="15" t="s">
        <v>14</v>
      </c>
      <c r="C7" s="14" t="s">
        <v>15</v>
      </c>
      <c r="D7" s="16">
        <f>[1]Aurora!E6</f>
        <v>528.20000000000005</v>
      </c>
      <c r="E7" s="16">
        <f>[1]Aurora!E17</f>
        <v>520</v>
      </c>
      <c r="F7" s="16">
        <f>[1]Aurora!E12</f>
        <v>315</v>
      </c>
      <c r="G7" s="18">
        <f t="shared" ref="G7:G33" si="0">F7/E7</f>
        <v>0.60576923076923073</v>
      </c>
      <c r="H7" s="18">
        <f>[1]Aurora!B18</f>
        <v>0.67920000000000003</v>
      </c>
      <c r="I7" s="20">
        <f>[1]Aurora!E33</f>
        <v>-54578.959999999963</v>
      </c>
      <c r="J7" s="24">
        <f>IF(G7&gt;H7,0,I7*-1)</f>
        <v>54578.959999999963</v>
      </c>
      <c r="K7" s="25">
        <f>IF(G7&gt;H7,I7,0)</f>
        <v>0</v>
      </c>
      <c r="M7" s="23"/>
      <c r="N7" s="23"/>
    </row>
    <row r="8" spans="1:14" x14ac:dyDescent="0.25">
      <c r="A8" s="14"/>
      <c r="B8" s="15"/>
      <c r="C8" s="14"/>
      <c r="D8" s="16"/>
      <c r="E8" s="17"/>
      <c r="F8" s="17"/>
      <c r="G8" s="18"/>
      <c r="H8" s="19"/>
      <c r="I8" s="20"/>
      <c r="J8" s="26"/>
      <c r="K8" s="27"/>
      <c r="M8" s="23"/>
      <c r="N8" s="23"/>
    </row>
    <row r="9" spans="1:14" x14ac:dyDescent="0.25">
      <c r="A9" s="14" t="s">
        <v>16</v>
      </c>
      <c r="B9" s="15" t="s">
        <v>17</v>
      </c>
      <c r="C9" s="14" t="s">
        <v>18</v>
      </c>
      <c r="D9" s="16">
        <f>[1]Boulder!E6</f>
        <v>106</v>
      </c>
      <c r="E9" s="16">
        <f>[1]Boulder!E17</f>
        <v>117</v>
      </c>
      <c r="F9" s="16">
        <f>[1]Boulder!E12</f>
        <v>21</v>
      </c>
      <c r="G9" s="18">
        <f t="shared" si="0"/>
        <v>0.17948717948717949</v>
      </c>
      <c r="H9" s="18">
        <f>[1]Boulder!B18</f>
        <v>0.17710000000000001</v>
      </c>
      <c r="I9" s="20">
        <f>[1]Boulder!E33</f>
        <v>389.59999999997672</v>
      </c>
      <c r="J9" s="26">
        <f>IF(G9&gt;H9,0,I9*-1)</f>
        <v>0</v>
      </c>
      <c r="K9" s="27">
        <f>IF(G9&gt;H9,I9,0)</f>
        <v>389.59999999997672</v>
      </c>
      <c r="M9" s="23"/>
      <c r="N9" s="23"/>
    </row>
    <row r="10" spans="1:14" x14ac:dyDescent="0.25">
      <c r="A10" s="14"/>
      <c r="B10" s="15"/>
      <c r="C10" s="14" t="s">
        <v>19</v>
      </c>
      <c r="D10" s="16">
        <f>[1]Boulder!F6</f>
        <v>89.5</v>
      </c>
      <c r="E10" s="16">
        <f>[1]Boulder!F17</f>
        <v>98</v>
      </c>
      <c r="F10" s="16">
        <f>[1]Boulder!F12</f>
        <v>72</v>
      </c>
      <c r="G10" s="18">
        <f t="shared" si="0"/>
        <v>0.73469387755102045</v>
      </c>
      <c r="H10" s="18">
        <f>[1]Boulder!B18</f>
        <v>0.17710000000000001</v>
      </c>
      <c r="I10" s="28">
        <f>[1]Boulder!F33</f>
        <v>52901.950365116238</v>
      </c>
      <c r="J10" s="26">
        <f>IF(G10&gt;H10,0,I10*-1)</f>
        <v>0</v>
      </c>
      <c r="K10" s="27">
        <f>IF(G10&gt;H10,I10,0)</f>
        <v>52901.950365116238</v>
      </c>
      <c r="M10" s="23"/>
      <c r="N10" s="23"/>
    </row>
    <row r="11" spans="1:14" x14ac:dyDescent="0.25">
      <c r="A11" s="14"/>
      <c r="B11" s="15"/>
      <c r="C11" s="29" t="s">
        <v>20</v>
      </c>
      <c r="D11" s="30">
        <f>SUM(D9:D10)</f>
        <v>195.5</v>
      </c>
      <c r="E11" s="30">
        <f>SUM(E9:E10)</f>
        <v>215</v>
      </c>
      <c r="F11" s="30">
        <f>SUM(F9:F10)</f>
        <v>93</v>
      </c>
      <c r="G11" s="18"/>
      <c r="H11" s="18"/>
      <c r="I11" s="31">
        <f>SUM(I9:I10)</f>
        <v>53291.550365116214</v>
      </c>
      <c r="J11" s="24">
        <f>SUM(J9:J10)</f>
        <v>0</v>
      </c>
      <c r="K11" s="25">
        <f>SUM(K9:K10)</f>
        <v>53291.550365116214</v>
      </c>
      <c r="M11" s="23"/>
      <c r="N11" s="32"/>
    </row>
    <row r="12" spans="1:14" x14ac:dyDescent="0.25">
      <c r="A12" s="14"/>
      <c r="B12" s="15"/>
      <c r="C12" s="14"/>
      <c r="D12" s="16"/>
      <c r="E12" s="17"/>
      <c r="F12" s="17"/>
      <c r="G12" s="18"/>
      <c r="H12" s="19"/>
      <c r="I12" s="20"/>
      <c r="J12" s="26"/>
      <c r="K12" s="27"/>
      <c r="M12" s="23"/>
      <c r="N12" s="23"/>
    </row>
    <row r="13" spans="1:14" x14ac:dyDescent="0.25">
      <c r="A13" s="14" t="s">
        <v>21</v>
      </c>
      <c r="B13" s="15" t="s">
        <v>22</v>
      </c>
      <c r="C13" s="14" t="s">
        <v>23</v>
      </c>
      <c r="D13" s="16">
        <f>[1]Denver!G6</f>
        <v>0</v>
      </c>
      <c r="E13" s="16">
        <f>[1]Denver!G17</f>
        <v>0</v>
      </c>
      <c r="F13" s="16">
        <f>[1]Denver!G12</f>
        <v>0</v>
      </c>
      <c r="G13" s="18">
        <v>0</v>
      </c>
      <c r="H13" s="18">
        <f>[1]Denver!$B$18</f>
        <v>0.54139999999999999</v>
      </c>
      <c r="I13" s="20" t="str">
        <f>[1]Denver!G33</f>
        <v/>
      </c>
      <c r="J13" s="26"/>
      <c r="K13" s="27" t="str">
        <f>I13</f>
        <v/>
      </c>
      <c r="M13" s="23"/>
      <c r="N13" s="23"/>
    </row>
    <row r="14" spans="1:14" x14ac:dyDescent="0.25">
      <c r="A14" s="14"/>
      <c r="B14" s="15"/>
      <c r="C14" s="14" t="s">
        <v>24</v>
      </c>
      <c r="D14" s="16">
        <f>[1]Denver!F6</f>
        <v>268</v>
      </c>
      <c r="E14" s="16">
        <f>[1]Denver!F17</f>
        <v>283</v>
      </c>
      <c r="F14" s="16">
        <f>[1]Denver!F12</f>
        <v>219</v>
      </c>
      <c r="G14" s="18">
        <f t="shared" si="0"/>
        <v>0.77385159010600701</v>
      </c>
      <c r="H14" s="18">
        <f>[1]Denver!$B$18</f>
        <v>0.54139999999999999</v>
      </c>
      <c r="I14" s="20">
        <f>[1]Denver!F33</f>
        <v>75860.710000000428</v>
      </c>
      <c r="J14" s="26">
        <f>IF(G14&gt;H14,0,I14*-1)</f>
        <v>0</v>
      </c>
      <c r="K14" s="27">
        <f>IF(G14&gt;H14,I14,0)</f>
        <v>75860.710000000428</v>
      </c>
      <c r="M14" s="23"/>
      <c r="N14" s="23"/>
    </row>
    <row r="15" spans="1:14" x14ac:dyDescent="0.25">
      <c r="A15" s="14"/>
      <c r="B15" s="15"/>
      <c r="C15" s="14" t="s">
        <v>25</v>
      </c>
      <c r="D15" s="16">
        <f>[1]Denver!H6</f>
        <v>430</v>
      </c>
      <c r="E15" s="16">
        <f>[1]Denver!H17</f>
        <v>430</v>
      </c>
      <c r="F15" s="16">
        <f>[1]Denver!H12</f>
        <v>303</v>
      </c>
      <c r="G15" s="18">
        <f t="shared" si="0"/>
        <v>0.70465116279069773</v>
      </c>
      <c r="H15" s="18">
        <f>[1]Denver!$B$18</f>
        <v>0.54139999999999999</v>
      </c>
      <c r="I15" s="20">
        <f>[1]Denver!H33</f>
        <v>85648.409999999683</v>
      </c>
      <c r="J15" s="26">
        <f t="shared" ref="J15:J22" si="1">IF(G15&gt;H15,0,I15*-1)</f>
        <v>0</v>
      </c>
      <c r="K15" s="27">
        <f t="shared" ref="K15:K22" si="2">IF(G15&gt;H15,I15,0)</f>
        <v>85648.409999999683</v>
      </c>
      <c r="M15" s="23"/>
      <c r="N15" s="23"/>
    </row>
    <row r="16" spans="1:14" x14ac:dyDescent="0.25">
      <c r="A16" s="14"/>
      <c r="B16" s="15"/>
      <c r="C16" s="14" t="s">
        <v>26</v>
      </c>
      <c r="D16" s="16">
        <f>[1]Denver!I6</f>
        <v>237.2</v>
      </c>
      <c r="E16" s="16">
        <f>[1]Denver!I17</f>
        <v>233</v>
      </c>
      <c r="F16" s="16">
        <f>[1]Denver!I12</f>
        <v>48</v>
      </c>
      <c r="G16" s="18">
        <f t="shared" si="0"/>
        <v>0.20600858369098712</v>
      </c>
      <c r="H16" s="18">
        <f>[1]Denver!$B$18</f>
        <v>0.54139999999999999</v>
      </c>
      <c r="I16" s="20">
        <f>[1]Denver!I33</f>
        <v>-96119.119999999879</v>
      </c>
      <c r="J16" s="26">
        <f t="shared" si="1"/>
        <v>96119.119999999879</v>
      </c>
      <c r="K16" s="27">
        <f t="shared" si="2"/>
        <v>0</v>
      </c>
      <c r="M16" s="23"/>
      <c r="N16" s="23"/>
    </row>
    <row r="17" spans="1:17" x14ac:dyDescent="0.25">
      <c r="A17" s="14"/>
      <c r="B17" s="15"/>
      <c r="C17" s="14" t="s">
        <v>27</v>
      </c>
      <c r="D17" s="16">
        <f>[1]Denver!E6</f>
        <v>105</v>
      </c>
      <c r="E17" s="16">
        <f>[1]Denver!E17</f>
        <v>109</v>
      </c>
      <c r="F17" s="16">
        <f>[1]Denver!E12</f>
        <v>105</v>
      </c>
      <c r="G17" s="18">
        <f t="shared" si="0"/>
        <v>0.96330275229357798</v>
      </c>
      <c r="H17" s="18">
        <f>[1]Denver!$B$18</f>
        <v>0.54139999999999999</v>
      </c>
      <c r="I17" s="20">
        <f>[1]Denver!E33</f>
        <v>53832.70000000007</v>
      </c>
      <c r="J17" s="26">
        <f t="shared" si="1"/>
        <v>0</v>
      </c>
      <c r="K17" s="27">
        <f t="shared" si="2"/>
        <v>53832.70000000007</v>
      </c>
      <c r="M17" s="23"/>
      <c r="N17" s="23"/>
    </row>
    <row r="18" spans="1:17" x14ac:dyDescent="0.25">
      <c r="A18" s="14"/>
      <c r="B18" s="15"/>
      <c r="C18" s="14" t="s">
        <v>28</v>
      </c>
      <c r="D18" s="16">
        <f>[1]Denver!K6</f>
        <v>183.3</v>
      </c>
      <c r="E18" s="16">
        <f>[1]Denver!K17</f>
        <v>178</v>
      </c>
      <c r="F18" s="16">
        <f>[1]Denver!K12</f>
        <v>153</v>
      </c>
      <c r="G18" s="18">
        <f t="shared" si="0"/>
        <v>0.8595505617977528</v>
      </c>
      <c r="H18" s="18">
        <f>[1]Denver!$B$18</f>
        <v>0.54139999999999999</v>
      </c>
      <c r="I18" s="20">
        <f>[1]Denver!K33</f>
        <v>70925.449999999953</v>
      </c>
      <c r="J18" s="26">
        <f t="shared" si="1"/>
        <v>0</v>
      </c>
      <c r="K18" s="27">
        <f t="shared" si="2"/>
        <v>70925.449999999953</v>
      </c>
      <c r="M18" s="23"/>
      <c r="N18" s="23"/>
    </row>
    <row r="19" spans="1:17" x14ac:dyDescent="0.25">
      <c r="A19" s="14"/>
      <c r="B19" s="15"/>
      <c r="C19" s="14" t="s">
        <v>29</v>
      </c>
      <c r="D19" s="16">
        <f>[1]Denver!L6</f>
        <v>1051</v>
      </c>
      <c r="E19" s="16">
        <f>[1]Denver!L17</f>
        <v>1051</v>
      </c>
      <c r="F19" s="16">
        <f>[1]Denver!L12</f>
        <v>516</v>
      </c>
      <c r="G19" s="18">
        <f t="shared" si="0"/>
        <v>0.49096098953377737</v>
      </c>
      <c r="H19" s="18">
        <f>[1]Denver!$B$18</f>
        <v>0.54139999999999999</v>
      </c>
      <c r="I19" s="28">
        <f>[1]Denver!L33</f>
        <v>-62883.650780912489</v>
      </c>
      <c r="J19" s="26">
        <f t="shared" si="1"/>
        <v>62883.650780912489</v>
      </c>
      <c r="K19" s="27">
        <f t="shared" si="2"/>
        <v>0</v>
      </c>
      <c r="M19" s="23"/>
      <c r="N19" s="23"/>
      <c r="P19" s="33"/>
    </row>
    <row r="20" spans="1:17" x14ac:dyDescent="0.25">
      <c r="A20" s="14"/>
      <c r="B20" s="15"/>
      <c r="C20" s="14" t="s">
        <v>30</v>
      </c>
      <c r="D20" s="16">
        <f>[1]Denver!M6</f>
        <v>526.5</v>
      </c>
      <c r="E20" s="16">
        <f>[1]Denver!M17</f>
        <v>520</v>
      </c>
      <c r="F20" s="16">
        <f>[1]Denver!M12</f>
        <v>174</v>
      </c>
      <c r="G20" s="18">
        <f t="shared" si="0"/>
        <v>0.33461538461538459</v>
      </c>
      <c r="H20" s="18">
        <f>[1]Denver!$B$18</f>
        <v>0.54139999999999999</v>
      </c>
      <c r="I20" s="28">
        <f>[1]Denver!M33</f>
        <v>-131277.10154927801</v>
      </c>
      <c r="J20" s="26">
        <f t="shared" si="1"/>
        <v>131277.10154927801</v>
      </c>
      <c r="K20" s="27">
        <f t="shared" si="2"/>
        <v>0</v>
      </c>
      <c r="M20" s="23"/>
      <c r="N20" s="23"/>
      <c r="P20" s="33"/>
    </row>
    <row r="21" spans="1:17" x14ac:dyDescent="0.25">
      <c r="A21" s="14"/>
      <c r="B21" s="15"/>
      <c r="C21" s="14" t="s">
        <v>31</v>
      </c>
      <c r="D21" s="16">
        <f>[1]Denver!N6</f>
        <v>725.4</v>
      </c>
      <c r="E21" s="16">
        <f>[1]Denver!N17</f>
        <v>716</v>
      </c>
      <c r="F21" s="16">
        <f>[1]Denver!N12</f>
        <v>409</v>
      </c>
      <c r="G21" s="18">
        <f t="shared" si="0"/>
        <v>0.57122905027932958</v>
      </c>
      <c r="H21" s="18">
        <f>[1]Denver!$B$18</f>
        <v>0.54139999999999999</v>
      </c>
      <c r="I21" s="28">
        <f>[1]Denver!N33</f>
        <v>27174.187088171951</v>
      </c>
      <c r="J21" s="26">
        <f t="shared" si="1"/>
        <v>0</v>
      </c>
      <c r="K21" s="27">
        <f t="shared" si="2"/>
        <v>27174.187088171951</v>
      </c>
      <c r="M21" s="23"/>
      <c r="N21" s="23"/>
      <c r="P21" s="33"/>
    </row>
    <row r="22" spans="1:17" x14ac:dyDescent="0.25">
      <c r="A22" s="14"/>
      <c r="B22" s="15"/>
      <c r="C22" s="14" t="s">
        <v>32</v>
      </c>
      <c r="D22" s="16">
        <f>[1]Denver!O6</f>
        <v>9</v>
      </c>
      <c r="E22" s="16">
        <f>[1]Denver!O17</f>
        <v>9</v>
      </c>
      <c r="F22" s="16">
        <f>[1]Denver!O12</f>
        <v>4</v>
      </c>
      <c r="G22" s="18">
        <f t="shared" si="0"/>
        <v>0.44444444444444442</v>
      </c>
      <c r="H22" s="18">
        <f>[1]Denver!$B$18</f>
        <v>0.54139999999999999</v>
      </c>
      <c r="I22" s="28">
        <f>[1]Denver!O33</f>
        <v>-1045.9355733658158</v>
      </c>
      <c r="J22" s="26">
        <f t="shared" si="1"/>
        <v>1045.9355733658158</v>
      </c>
      <c r="K22" s="27">
        <f t="shared" si="2"/>
        <v>0</v>
      </c>
      <c r="M22" s="23"/>
      <c r="N22" s="23"/>
      <c r="P22" s="33"/>
    </row>
    <row r="23" spans="1:17" x14ac:dyDescent="0.25">
      <c r="A23" s="14"/>
      <c r="B23" s="15"/>
      <c r="C23" s="29" t="s">
        <v>20</v>
      </c>
      <c r="D23" s="30">
        <f>SUM(D13:D22)</f>
        <v>3535.4</v>
      </c>
      <c r="E23" s="30">
        <f>SUM(E13:E22)</f>
        <v>3529</v>
      </c>
      <c r="F23" s="30">
        <f>SUM(F13:F22)</f>
        <v>1931</v>
      </c>
      <c r="G23" s="18"/>
      <c r="H23" s="19"/>
      <c r="I23" s="31">
        <f>SUM(I13:I22)</f>
        <v>22115.64918461589</v>
      </c>
      <c r="J23" s="31">
        <f>SUM(J13:J22)</f>
        <v>291325.80790355621</v>
      </c>
      <c r="K23" s="34">
        <f>SUM(K13:K22)</f>
        <v>313441.45708817209</v>
      </c>
      <c r="M23" s="32" t="s">
        <v>33</v>
      </c>
      <c r="N23" s="32"/>
      <c r="P23" s="33"/>
    </row>
    <row r="24" spans="1:17" x14ac:dyDescent="0.25">
      <c r="A24" s="14"/>
      <c r="B24" s="15"/>
      <c r="C24" s="14"/>
      <c r="D24" s="16"/>
      <c r="E24" s="17"/>
      <c r="F24" s="17"/>
      <c r="G24" s="18"/>
      <c r="H24" s="19"/>
      <c r="I24" s="20"/>
      <c r="J24" s="26"/>
      <c r="K24" s="27"/>
      <c r="M24" s="23"/>
      <c r="N24" s="23"/>
      <c r="Q24" s="33"/>
    </row>
    <row r="25" spans="1:17" ht="13.5" customHeight="1" x14ac:dyDescent="0.25">
      <c r="A25" s="14" t="s">
        <v>34</v>
      </c>
      <c r="B25" s="15" t="s">
        <v>35</v>
      </c>
      <c r="C25" s="14" t="s">
        <v>36</v>
      </c>
      <c r="D25" s="16">
        <f>[1]Harrison!E6</f>
        <v>440.5</v>
      </c>
      <c r="E25" s="16">
        <f>[1]Harrison!E17</f>
        <v>441</v>
      </c>
      <c r="F25" s="16">
        <f>[1]Harrison!E12</f>
        <v>122</v>
      </c>
      <c r="G25" s="18">
        <f>F25/E25</f>
        <v>0.27664399092970521</v>
      </c>
      <c r="H25" s="35">
        <f>[1]Harrison!$B$18</f>
        <v>0.67669999999999997</v>
      </c>
      <c r="I25" s="28">
        <f>[1]Harrison!E33</f>
        <v>-246098.87000000011</v>
      </c>
      <c r="J25" s="26">
        <f>IF(G25&gt;H25,0,I25*-1)</f>
        <v>246098.87000000011</v>
      </c>
      <c r="K25" s="27">
        <f>IF(G25&gt;H25,I25,0)</f>
        <v>0</v>
      </c>
      <c r="M25" s="23"/>
      <c r="N25" s="23"/>
      <c r="P25" s="33"/>
    </row>
    <row r="26" spans="1:17" x14ac:dyDescent="0.25">
      <c r="A26" s="14"/>
      <c r="B26" s="15"/>
      <c r="C26" s="14" t="s">
        <v>37</v>
      </c>
      <c r="D26" s="16">
        <f>[1]Harrison!F6</f>
        <v>471</v>
      </c>
      <c r="E26" s="16">
        <f>[1]Harrison!F17</f>
        <v>471</v>
      </c>
      <c r="F26" s="16">
        <f>[1]Harrison!F12</f>
        <v>141</v>
      </c>
      <c r="G26" s="18">
        <f>F26/E26</f>
        <v>0.29936305732484075</v>
      </c>
      <c r="H26" s="35">
        <f>[1]Harrison!$B$18</f>
        <v>0.67669999999999997</v>
      </c>
      <c r="I26" s="28">
        <f>[1]Harrison!F33</f>
        <v>-248192.71890357649</v>
      </c>
      <c r="J26" s="26">
        <f>IF(G26&gt;H26,0,I26*-1)</f>
        <v>248192.71890357649</v>
      </c>
      <c r="K26" s="27">
        <f>IF(G26&gt;H26,I26,0)</f>
        <v>0</v>
      </c>
      <c r="M26" s="23"/>
      <c r="N26" s="23"/>
      <c r="P26" s="33"/>
    </row>
    <row r="27" spans="1:17" x14ac:dyDescent="0.25">
      <c r="A27" s="14"/>
      <c r="B27" s="15"/>
      <c r="C27" s="29" t="s">
        <v>20</v>
      </c>
      <c r="D27" s="30">
        <f>SUM(D25:D26)</f>
        <v>911.5</v>
      </c>
      <c r="E27" s="30">
        <f>SUM(E25:E26)</f>
        <v>912</v>
      </c>
      <c r="F27" s="30">
        <f>SUM(F25:F26)</f>
        <v>263</v>
      </c>
      <c r="G27" s="18"/>
      <c r="H27" s="19"/>
      <c r="I27" s="31">
        <f>SUM(I25:I26)</f>
        <v>-494291.5889035766</v>
      </c>
      <c r="J27" s="24">
        <f>SUM(J25:J26)</f>
        <v>494291.5889035766</v>
      </c>
      <c r="K27" s="34">
        <f>SUM(K25:K26)</f>
        <v>0</v>
      </c>
      <c r="M27" s="32"/>
      <c r="N27" s="23"/>
    </row>
    <row r="28" spans="1:17" x14ac:dyDescent="0.25">
      <c r="B28" s="36"/>
      <c r="C28" s="14"/>
      <c r="D28" s="16"/>
      <c r="E28" s="17"/>
      <c r="F28" s="17"/>
      <c r="G28" s="18"/>
      <c r="H28" s="19"/>
      <c r="I28" s="31"/>
      <c r="J28" s="24"/>
      <c r="K28" s="25"/>
      <c r="M28" s="23"/>
      <c r="N28" s="23"/>
    </row>
    <row r="29" spans="1:17" x14ac:dyDescent="0.25">
      <c r="A29" s="14"/>
      <c r="B29" s="15" t="s">
        <v>38</v>
      </c>
      <c r="C29" s="14" t="s">
        <v>39</v>
      </c>
      <c r="D29" s="16">
        <f>'[1]CO springs'!E6</f>
        <v>178</v>
      </c>
      <c r="E29" s="16">
        <f>'[1]CO springs'!E17</f>
        <v>179</v>
      </c>
      <c r="F29" s="16">
        <f>'[1]CO springs'!E12</f>
        <v>38</v>
      </c>
      <c r="G29" s="18">
        <f t="shared" si="0"/>
        <v>0.21229050279329609</v>
      </c>
      <c r="H29" s="35">
        <f>'[1]CO springs'!B$18</f>
        <v>0.4829</v>
      </c>
      <c r="I29" s="20">
        <f>'[1]CO springs'!E33</f>
        <v>-50984.169999999925</v>
      </c>
      <c r="J29" s="26">
        <f>IF(G29&gt;H29,0,I29*-1)</f>
        <v>50984.169999999925</v>
      </c>
      <c r="K29" s="27">
        <f>IF(G29&gt;H29,I29,0)</f>
        <v>0</v>
      </c>
      <c r="M29" s="23"/>
      <c r="N29" s="23"/>
    </row>
    <row r="30" spans="1:17" x14ac:dyDescent="0.25">
      <c r="A30" s="14"/>
      <c r="B30" s="15"/>
      <c r="C30" s="14" t="s">
        <v>40</v>
      </c>
      <c r="D30" s="16">
        <f>'[1]CO springs'!F6</f>
        <v>198</v>
      </c>
      <c r="E30" s="16">
        <f>'[1]CO springs'!F17</f>
        <v>228</v>
      </c>
      <c r="F30" s="16">
        <f>'[1]CO springs'!F12</f>
        <v>68</v>
      </c>
      <c r="G30" s="18">
        <f t="shared" si="0"/>
        <v>0.2982456140350877</v>
      </c>
      <c r="H30" s="35">
        <f>'[1]CO springs'!B$18</f>
        <v>0.4829</v>
      </c>
      <c r="I30" s="20">
        <f>'[1]CO springs'!F33</f>
        <v>-38637.310000000056</v>
      </c>
      <c r="J30" s="26">
        <f>IF(G30&gt;H30,0,I30*-1)</f>
        <v>38637.310000000056</v>
      </c>
      <c r="K30" s="27">
        <f>IF(G30&gt;H30,I30,0)</f>
        <v>0</v>
      </c>
      <c r="M30" s="23"/>
      <c r="N30" s="23"/>
    </row>
    <row r="31" spans="1:17" x14ac:dyDescent="0.25">
      <c r="A31" s="14"/>
      <c r="B31" s="15"/>
      <c r="C31" s="14" t="s">
        <v>41</v>
      </c>
      <c r="D31" s="16">
        <f>'[1]CO springs'!G6</f>
        <v>181.4</v>
      </c>
      <c r="E31" s="16">
        <f>'[1]CO springs'!G17</f>
        <v>176</v>
      </c>
      <c r="F31" s="16">
        <f>'[1]CO springs'!G12</f>
        <v>77</v>
      </c>
      <c r="G31" s="18">
        <f t="shared" si="0"/>
        <v>0.4375</v>
      </c>
      <c r="H31" s="35">
        <f>'[1]CO springs'!B$18</f>
        <v>0.4829</v>
      </c>
      <c r="I31" s="20">
        <f>'[1]CO springs'!G33</f>
        <v>-8570.1300000001211</v>
      </c>
      <c r="J31" s="26">
        <f>IF(G31&gt;H31,0,I31*-1)</f>
        <v>8570.1300000001211</v>
      </c>
      <c r="K31" s="27">
        <f>IF(G31&gt;H31,I31,0)</f>
        <v>0</v>
      </c>
      <c r="M31" s="23"/>
      <c r="N31" s="23"/>
    </row>
    <row r="32" spans="1:17" x14ac:dyDescent="0.25">
      <c r="A32" s="14"/>
      <c r="B32" s="15"/>
      <c r="C32" s="14" t="s">
        <v>42</v>
      </c>
      <c r="D32" s="16">
        <f>'[1]CO springs'!H6</f>
        <v>593.4</v>
      </c>
      <c r="E32" s="16">
        <f>'[1]CO springs'!H17</f>
        <v>582</v>
      </c>
      <c r="F32" s="16">
        <f>'[1]CO springs'!H12</f>
        <v>452</v>
      </c>
      <c r="G32" s="18">
        <f t="shared" si="0"/>
        <v>0.7766323024054983</v>
      </c>
      <c r="H32" s="35">
        <f>'[1]CO springs'!B$18</f>
        <v>0.4829</v>
      </c>
      <c r="I32" s="20">
        <f>'[1]CO springs'!H33</f>
        <v>185696.38999999966</v>
      </c>
      <c r="J32" s="26">
        <f>IF(G32&gt;H32,0,I32*-1)</f>
        <v>0</v>
      </c>
      <c r="K32" s="27">
        <f>IF(G32&gt;H32,I32,0)</f>
        <v>185696.38999999966</v>
      </c>
      <c r="M32" s="23"/>
      <c r="N32" s="23"/>
    </row>
    <row r="33" spans="1:16" x14ac:dyDescent="0.25">
      <c r="A33" s="14"/>
      <c r="B33" s="15"/>
      <c r="C33" s="14" t="s">
        <v>43</v>
      </c>
      <c r="D33" s="16">
        <f>'[1]CO springs'!I6</f>
        <v>139</v>
      </c>
      <c r="E33" s="16">
        <v>280</v>
      </c>
      <c r="F33" s="16">
        <v>107</v>
      </c>
      <c r="G33" s="18">
        <f t="shared" si="0"/>
        <v>0.38214285714285712</v>
      </c>
      <c r="H33" s="35">
        <f>'[1]CO springs'!B$18</f>
        <v>0.4829</v>
      </c>
      <c r="I33" s="28">
        <f>'[1]CO springs'!I33</f>
        <v>-16812.55704073282</v>
      </c>
      <c r="J33" s="26">
        <f>IF(G33&gt;H33,0,I33*-1)</f>
        <v>16812.55704073282</v>
      </c>
      <c r="K33" s="27">
        <f>IF(G33&gt;H33,I33,0)</f>
        <v>0</v>
      </c>
      <c r="M33" s="23"/>
      <c r="N33" s="23"/>
    </row>
    <row r="34" spans="1:16" x14ac:dyDescent="0.25">
      <c r="A34" s="14"/>
      <c r="B34" s="15"/>
      <c r="C34" s="29" t="s">
        <v>20</v>
      </c>
      <c r="D34" s="30">
        <f>SUM(D28:D33)</f>
        <v>1289.8</v>
      </c>
      <c r="E34" s="30">
        <f>SUM(E28:E33)</f>
        <v>1445</v>
      </c>
      <c r="F34" s="30">
        <f>SUM(F28:F33)</f>
        <v>742</v>
      </c>
      <c r="G34" s="18"/>
      <c r="H34" s="19"/>
      <c r="I34" s="31">
        <f>SUM(I29:I33)</f>
        <v>70692.222959266743</v>
      </c>
      <c r="J34" s="31">
        <f>SUM(J29:J33)</f>
        <v>115004.16704073292</v>
      </c>
      <c r="K34" s="34">
        <f>SUM(K29:K33)</f>
        <v>185696.38999999966</v>
      </c>
      <c r="M34" s="32"/>
      <c r="N34" s="32"/>
      <c r="P34" s="33"/>
    </row>
    <row r="35" spans="1:16" x14ac:dyDescent="0.25">
      <c r="A35" s="14"/>
      <c r="B35" s="15"/>
      <c r="C35" s="29"/>
      <c r="D35" s="30"/>
      <c r="E35" s="17"/>
      <c r="F35" s="17"/>
      <c r="G35" s="18"/>
      <c r="H35" s="19"/>
      <c r="I35" s="31"/>
      <c r="J35" s="24"/>
      <c r="K35" s="25"/>
      <c r="M35" s="23"/>
      <c r="N35" s="23"/>
    </row>
    <row r="36" spans="1:16" x14ac:dyDescent="0.25">
      <c r="A36" s="14" t="s">
        <v>44</v>
      </c>
      <c r="B36" s="15" t="s">
        <v>45</v>
      </c>
      <c r="C36" s="14" t="s">
        <v>46</v>
      </c>
      <c r="D36" s="16">
        <f>'[1]Canon City'!E6</f>
        <v>256.3</v>
      </c>
      <c r="E36" s="16">
        <f>'[1]Canon City'!E17</f>
        <v>252</v>
      </c>
      <c r="F36" s="16">
        <f>'[1]Canon City'!E12</f>
        <v>59</v>
      </c>
      <c r="G36" s="18">
        <f>F36/E36</f>
        <v>0.23412698412698413</v>
      </c>
      <c r="H36" s="35">
        <f>'[1]Canon City'!B18</f>
        <v>0.50729999999999997</v>
      </c>
      <c r="I36" s="20">
        <f>'[1]Canon City'!E33</f>
        <v>-72314.270000000019</v>
      </c>
      <c r="J36" s="24">
        <f>IF(G36&gt;H36,0,I36*-1)</f>
        <v>72314.270000000019</v>
      </c>
      <c r="K36" s="25">
        <f>IF(G36&gt;H36,I36,0)</f>
        <v>0</v>
      </c>
      <c r="M36" s="23"/>
      <c r="N36" s="23"/>
    </row>
    <row r="37" spans="1:16" x14ac:dyDescent="0.25">
      <c r="A37" s="14"/>
      <c r="B37" s="15"/>
      <c r="C37" s="14"/>
      <c r="D37" s="16"/>
      <c r="E37" s="16"/>
      <c r="F37" s="16"/>
      <c r="G37" s="18"/>
      <c r="H37" s="35"/>
      <c r="I37" s="20"/>
      <c r="J37" s="26"/>
      <c r="K37" s="27"/>
      <c r="M37" s="23"/>
      <c r="N37" s="23"/>
    </row>
    <row r="38" spans="1:16" x14ac:dyDescent="0.25">
      <c r="A38" s="14" t="s">
        <v>47</v>
      </c>
      <c r="B38" s="15" t="s">
        <v>48</v>
      </c>
      <c r="C38" s="14" t="s">
        <v>49</v>
      </c>
      <c r="D38" s="16">
        <f>[1]Gunnison!E6</f>
        <v>49.6</v>
      </c>
      <c r="E38" s="16">
        <f>[1]Gunnison!E17</f>
        <v>48</v>
      </c>
      <c r="F38" s="16">
        <f>[1]Gunnison!E12</f>
        <v>7</v>
      </c>
      <c r="G38" s="18">
        <f>F38/E38</f>
        <v>0.14583333333333334</v>
      </c>
      <c r="H38" s="35">
        <f>[1]Gunnison!B18</f>
        <v>0.1938</v>
      </c>
      <c r="I38" s="20">
        <f>[1]Gunnison!E33</f>
        <v>-2456.4700000000303</v>
      </c>
      <c r="J38" s="24">
        <f>IF(G38&gt;H38,0,I38*-1)</f>
        <v>2456.4700000000303</v>
      </c>
      <c r="K38" s="25">
        <f>IF(G38&gt;H38,I38,0)</f>
        <v>0</v>
      </c>
      <c r="M38" s="23"/>
      <c r="N38" s="23"/>
    </row>
    <row r="39" spans="1:16" x14ac:dyDescent="0.25">
      <c r="A39" s="14"/>
      <c r="B39" s="15"/>
      <c r="C39" s="14"/>
      <c r="D39" s="16"/>
      <c r="E39" s="17"/>
      <c r="F39" s="17"/>
      <c r="G39" s="18"/>
      <c r="H39" s="19"/>
      <c r="I39" s="20"/>
      <c r="J39" s="26"/>
      <c r="K39" s="27"/>
      <c r="M39" s="23"/>
      <c r="N39" s="23"/>
    </row>
    <row r="40" spans="1:16" x14ac:dyDescent="0.25">
      <c r="A40" s="14" t="s">
        <v>50</v>
      </c>
      <c r="B40" s="15" t="s">
        <v>50</v>
      </c>
      <c r="C40" s="14" t="s">
        <v>51</v>
      </c>
      <c r="D40" s="16">
        <f>[1]Jeffco!F6</f>
        <v>148</v>
      </c>
      <c r="E40" s="16">
        <f>[1]Jeffco!F17</f>
        <v>152</v>
      </c>
      <c r="F40" s="16">
        <f>[1]Jeffco!F12</f>
        <v>104</v>
      </c>
      <c r="G40" s="18">
        <f>F40/E40</f>
        <v>0.68421052631578949</v>
      </c>
      <c r="H40" s="35">
        <f>[1]Jeffco!B18</f>
        <v>0.25850000000000001</v>
      </c>
      <c r="I40" s="28">
        <f>[1]Jeffco!F33</f>
        <v>64975.689131536288</v>
      </c>
      <c r="J40" s="26">
        <f>IF(G40&gt;H40,0,I40*-1)</f>
        <v>0</v>
      </c>
      <c r="K40" s="27">
        <f>IF(G40&gt;H40,I40,0)</f>
        <v>64975.689131536288</v>
      </c>
      <c r="M40" s="23"/>
      <c r="N40" s="23"/>
    </row>
    <row r="41" spans="1:16" x14ac:dyDescent="0.25">
      <c r="A41" s="14"/>
      <c r="B41" s="15"/>
      <c r="C41" s="14" t="s">
        <v>52</v>
      </c>
      <c r="D41" s="16">
        <f>[1]Jeffco!E6</f>
        <v>56.5</v>
      </c>
      <c r="E41" s="16">
        <f>[1]Jeffco!E17</f>
        <v>57</v>
      </c>
      <c r="F41" s="16">
        <f>[1]Jeffco!E12</f>
        <v>23</v>
      </c>
      <c r="G41" s="18">
        <f>F41/E41</f>
        <v>0.40350877192982454</v>
      </c>
      <c r="H41" s="35">
        <f>[1]Jeffco!B18</f>
        <v>0.25850000000000001</v>
      </c>
      <c r="I41" s="20">
        <f>[1]Jeffco!E33</f>
        <v>8489.359999999986</v>
      </c>
      <c r="J41" s="26">
        <f>IF(G41&gt;H41,0,I41*-1)</f>
        <v>0</v>
      </c>
      <c r="K41" s="27">
        <f>IF(G41&gt;H41,I41,0)</f>
        <v>8489.359999999986</v>
      </c>
      <c r="M41" s="23"/>
      <c r="N41" s="23"/>
    </row>
    <row r="42" spans="1:16" x14ac:dyDescent="0.25">
      <c r="A42" s="14"/>
      <c r="B42" s="15"/>
      <c r="C42" s="29" t="s">
        <v>20</v>
      </c>
      <c r="D42" s="30">
        <f>SUM(D40:D41)</f>
        <v>204.5</v>
      </c>
      <c r="E42" s="30">
        <f>SUM(E40:E41)</f>
        <v>209</v>
      </c>
      <c r="F42" s="30">
        <f>SUM(F40:F41)</f>
        <v>127</v>
      </c>
      <c r="G42" s="18"/>
      <c r="H42" s="35"/>
      <c r="I42" s="31">
        <f>SUM(I40:I41)</f>
        <v>73465.049131536274</v>
      </c>
      <c r="J42" s="24">
        <f>SUM(J40:J41)</f>
        <v>0</v>
      </c>
      <c r="K42" s="25">
        <f>SUM(K40:K41)</f>
        <v>73465.049131536274</v>
      </c>
      <c r="M42" s="23"/>
      <c r="N42" s="32"/>
    </row>
    <row r="43" spans="1:16" x14ac:dyDescent="0.25">
      <c r="A43" s="14"/>
      <c r="B43" s="15"/>
      <c r="C43" s="14"/>
      <c r="D43" s="16"/>
      <c r="E43" s="17"/>
      <c r="F43" s="17"/>
      <c r="G43" s="18"/>
      <c r="H43" s="19"/>
      <c r="I43" s="20"/>
      <c r="J43" s="26"/>
      <c r="K43" s="27"/>
      <c r="M43" s="23"/>
      <c r="N43" s="23"/>
    </row>
    <row r="44" spans="1:16" x14ac:dyDescent="0.25">
      <c r="A44" s="14" t="s">
        <v>53</v>
      </c>
      <c r="B44" s="15" t="s">
        <v>54</v>
      </c>
      <c r="C44" s="14" t="s">
        <v>55</v>
      </c>
      <c r="D44" s="16">
        <f>'[1]Mont-Cortez'!E6</f>
        <v>74.8</v>
      </c>
      <c r="E44" s="16">
        <f>'[1]Mont-Cortez'!E17</f>
        <v>77</v>
      </c>
      <c r="F44" s="16">
        <f>'[1]Mont-Cortez'!E12</f>
        <v>40</v>
      </c>
      <c r="G44" s="18">
        <f>F44/E44</f>
        <v>0.51948051948051943</v>
      </c>
      <c r="H44" s="35">
        <f>'[1]Mont-Cortez'!B18</f>
        <v>0.56120000000000003</v>
      </c>
      <c r="I44" s="20">
        <f>'[1]Mont-Cortez'!E33</f>
        <v>-3582.9404977613594</v>
      </c>
      <c r="J44" s="26">
        <f>IF(G44&gt;H44,0,I44*-1)</f>
        <v>3582.9404977613594</v>
      </c>
      <c r="K44" s="27">
        <f>IF(G44&gt;H44,I44,0)</f>
        <v>0</v>
      </c>
      <c r="M44" s="23"/>
      <c r="N44" s="23"/>
    </row>
    <row r="45" spans="1:16" x14ac:dyDescent="0.25">
      <c r="A45" s="14"/>
      <c r="B45" s="15"/>
      <c r="C45" s="14" t="s">
        <v>56</v>
      </c>
      <c r="D45" s="16">
        <f>'[1]Mont-Cortez'!F6</f>
        <v>120.5</v>
      </c>
      <c r="E45" s="16">
        <f>'[1]Mont-Cortez'!F17</f>
        <v>122</v>
      </c>
      <c r="F45" s="16">
        <f>'[1]Mont-Cortez'!F12</f>
        <v>79</v>
      </c>
      <c r="G45" s="18">
        <f>F45/E45</f>
        <v>0.64754098360655743</v>
      </c>
      <c r="H45" s="35">
        <f>'[1]Mont-Cortez'!B18</f>
        <v>0.56120000000000003</v>
      </c>
      <c r="I45" s="20">
        <f>'[1]Mont-Cortez'!F33</f>
        <v>11877.651978873531</v>
      </c>
      <c r="J45" s="26">
        <f>IF(G45&gt;H45,0,I45*-1)</f>
        <v>0</v>
      </c>
      <c r="K45" s="27">
        <f>IF(G45&gt;H45,I45,0)</f>
        <v>11877.651978873531</v>
      </c>
      <c r="M45" s="23"/>
      <c r="N45" s="23"/>
    </row>
    <row r="46" spans="1:16" x14ac:dyDescent="0.25">
      <c r="A46" s="14"/>
      <c r="B46" s="15"/>
      <c r="C46" s="29" t="s">
        <v>20</v>
      </c>
      <c r="D46" s="30">
        <f>SUM(D44:D45)</f>
        <v>195.3</v>
      </c>
      <c r="E46" s="30">
        <f>SUM(E44:E45)</f>
        <v>199</v>
      </c>
      <c r="F46" s="30">
        <f>SUM(F44:F45)</f>
        <v>119</v>
      </c>
      <c r="G46" s="18"/>
      <c r="H46" s="19"/>
      <c r="I46" s="31">
        <f>SUM(I44:I45)</f>
        <v>8294.7114811121719</v>
      </c>
      <c r="J46" s="24">
        <f>SUM(J44:J45)</f>
        <v>3582.9404977613594</v>
      </c>
      <c r="K46" s="25">
        <f>SUM(K44:K45)</f>
        <v>11877.651978873531</v>
      </c>
      <c r="M46" s="32"/>
      <c r="N46" s="23"/>
    </row>
    <row r="47" spans="1:16" x14ac:dyDescent="0.25">
      <c r="A47" s="14"/>
      <c r="B47" s="15"/>
      <c r="C47" s="14"/>
      <c r="D47" s="16"/>
      <c r="E47" s="17"/>
      <c r="F47" s="17"/>
      <c r="G47" s="18"/>
      <c r="H47" s="19"/>
      <c r="I47" s="20"/>
      <c r="J47" s="26"/>
      <c r="K47" s="27"/>
      <c r="M47" s="23"/>
      <c r="N47" s="23"/>
    </row>
    <row r="48" spans="1:16" x14ac:dyDescent="0.25">
      <c r="A48" s="14" t="s">
        <v>57</v>
      </c>
      <c r="B48" s="15" t="s">
        <v>58</v>
      </c>
      <c r="C48" s="14" t="s">
        <v>59</v>
      </c>
      <c r="D48" s="16">
        <f>[1]Montrose!E6</f>
        <v>0</v>
      </c>
      <c r="E48" s="16">
        <f>[1]Montrose!E17</f>
        <v>0</v>
      </c>
      <c r="F48" s="16">
        <f>[1]Montrose!E12</f>
        <v>0</v>
      </c>
      <c r="G48" s="18">
        <v>0</v>
      </c>
      <c r="H48" s="35">
        <f>[1]Montrose!B18</f>
        <v>0.41160000000000002</v>
      </c>
      <c r="I48" s="20">
        <f>[1]Montrose!E33</f>
        <v>0</v>
      </c>
      <c r="J48" s="26">
        <f>IF(G48&gt;H48,0,I48*-1)</f>
        <v>0</v>
      </c>
      <c r="K48" s="27">
        <f>IF(G48&gt;H48,I48,0)</f>
        <v>0</v>
      </c>
      <c r="M48" s="23"/>
      <c r="N48" s="23"/>
    </row>
    <row r="49" spans="1:16" x14ac:dyDescent="0.25">
      <c r="A49" s="14"/>
      <c r="B49" s="15"/>
      <c r="C49" s="14" t="s">
        <v>60</v>
      </c>
      <c r="D49" s="16">
        <f>[1]Montrose!F6</f>
        <v>207.5</v>
      </c>
      <c r="E49" s="16">
        <f>[1]Montrose!F17</f>
        <v>209</v>
      </c>
      <c r="F49" s="16">
        <f>[1]Montrose!F12</f>
        <v>99</v>
      </c>
      <c r="G49" s="18">
        <f>F49/E49</f>
        <v>0.47368421052631576</v>
      </c>
      <c r="H49" s="35">
        <f>[1]Montrose!B18</f>
        <v>0.41160000000000002</v>
      </c>
      <c r="I49" s="28">
        <f>[1]Montrose!F33</f>
        <v>13404.325654197251</v>
      </c>
      <c r="J49" s="26">
        <f>IF(G49&gt;H49,0,I49*-1)</f>
        <v>0</v>
      </c>
      <c r="K49" s="27">
        <f>IF(G49&gt;H49,I49,0)</f>
        <v>13404.325654197251</v>
      </c>
      <c r="M49" s="23"/>
      <c r="N49" s="23"/>
    </row>
    <row r="50" spans="1:16" x14ac:dyDescent="0.25">
      <c r="A50" s="14"/>
      <c r="B50" s="15"/>
      <c r="C50" s="29" t="s">
        <v>20</v>
      </c>
      <c r="D50" s="30">
        <f>SUM(D48:D49)</f>
        <v>207.5</v>
      </c>
      <c r="E50" s="30">
        <f>SUM(E48:E49)</f>
        <v>209</v>
      </c>
      <c r="F50" s="30">
        <f>SUM(F48:F49)</f>
        <v>99</v>
      </c>
      <c r="G50" s="18"/>
      <c r="H50" s="35"/>
      <c r="I50" s="37">
        <f>SUM(I48:I49)</f>
        <v>13404.325654197251</v>
      </c>
      <c r="J50" s="38">
        <f>SUM(J48:J49)</f>
        <v>0</v>
      </c>
      <c r="K50" s="34">
        <f>SUM(K48:K49)</f>
        <v>13404.325654197251</v>
      </c>
      <c r="M50" s="23"/>
      <c r="N50" s="32"/>
      <c r="P50" s="23"/>
    </row>
    <row r="51" spans="1:16" x14ac:dyDescent="0.25">
      <c r="A51" s="14"/>
      <c r="B51" s="15"/>
      <c r="C51" s="14"/>
      <c r="D51" s="16"/>
      <c r="E51" s="17"/>
      <c r="F51" s="17"/>
      <c r="G51" s="18"/>
      <c r="H51" s="19"/>
      <c r="I51" s="20"/>
      <c r="J51" s="26"/>
      <c r="K51" s="27"/>
      <c r="M51" s="23"/>
      <c r="N51" s="23"/>
    </row>
    <row r="52" spans="1:16" x14ac:dyDescent="0.25">
      <c r="A52" s="14"/>
      <c r="B52" s="15" t="s">
        <v>61</v>
      </c>
      <c r="C52" s="14" t="s">
        <v>62</v>
      </c>
      <c r="D52" s="16">
        <f>'[1]West End'!E6</f>
        <v>29</v>
      </c>
      <c r="E52" s="16">
        <f>'[1]West End'!E17</f>
        <v>28</v>
      </c>
      <c r="F52" s="16">
        <f>'[1]West End'!E12</f>
        <v>8</v>
      </c>
      <c r="G52" s="18">
        <f>F52/E52</f>
        <v>0.2857142857142857</v>
      </c>
      <c r="H52" s="35">
        <f>'[1]West End'!B18</f>
        <v>0.41830000000000001</v>
      </c>
      <c r="I52" s="28">
        <f>'[1]West End'!E33</f>
        <v>-5426.2399999999907</v>
      </c>
      <c r="J52" s="24">
        <f>IF(G52&gt;H52,0,I52*-1)</f>
        <v>5426.2399999999907</v>
      </c>
      <c r="K52" s="25">
        <f>IF(G52&gt;H52,I52,0)</f>
        <v>0</v>
      </c>
      <c r="M52" s="23"/>
      <c r="N52" s="23"/>
      <c r="P52" s="33"/>
    </row>
    <row r="53" spans="1:16" x14ac:dyDescent="0.25">
      <c r="A53" s="14"/>
      <c r="B53" s="15"/>
      <c r="C53" s="14"/>
      <c r="D53" s="16"/>
      <c r="E53" s="17"/>
      <c r="F53" s="17"/>
      <c r="G53" s="18"/>
      <c r="H53" s="19"/>
      <c r="I53" s="20"/>
      <c r="J53" s="26"/>
      <c r="K53" s="27"/>
      <c r="M53" s="23"/>
      <c r="N53" s="23"/>
    </row>
    <row r="54" spans="1:16" x14ac:dyDescent="0.25">
      <c r="A54" s="14" t="s">
        <v>63</v>
      </c>
      <c r="B54" s="15" t="s">
        <v>64</v>
      </c>
      <c r="C54" s="14" t="s">
        <v>65</v>
      </c>
      <c r="D54" s="16">
        <f>[1]Park!E6</f>
        <v>38.799999999999997</v>
      </c>
      <c r="E54" s="16">
        <f>[1]Park!E17</f>
        <v>38</v>
      </c>
      <c r="F54" s="16">
        <f>[1]Park!E12</f>
        <v>11</v>
      </c>
      <c r="G54" s="18">
        <f>F54/E54</f>
        <v>0.28947368421052633</v>
      </c>
      <c r="H54" s="35">
        <f>[1]Park!B18</f>
        <v>0.3387</v>
      </c>
      <c r="I54" s="20">
        <f>[1]Park!E33</f>
        <v>-2153.9500000000116</v>
      </c>
      <c r="J54" s="26">
        <f>IF(G54&gt;H54,0,I54*-1)</f>
        <v>2153.9500000000116</v>
      </c>
      <c r="K54" s="27">
        <f>IF(G54&gt;H54,I54,0)</f>
        <v>0</v>
      </c>
      <c r="M54" s="23"/>
      <c r="N54" s="23"/>
    </row>
    <row r="55" spans="1:16" x14ac:dyDescent="0.25">
      <c r="A55" s="14"/>
      <c r="B55" s="15"/>
      <c r="C55" s="14" t="s">
        <v>66</v>
      </c>
      <c r="D55" s="16">
        <f>[1]Park!F6</f>
        <v>133</v>
      </c>
      <c r="E55" s="16">
        <f>[1]Park!F17</f>
        <v>130</v>
      </c>
      <c r="F55" s="16">
        <f>[1]Park!F12</f>
        <v>43</v>
      </c>
      <c r="G55" s="18">
        <f>F55/E55</f>
        <v>0.33076923076923076</v>
      </c>
      <c r="H55" s="35">
        <f>[1]Park!B18</f>
        <v>0.3387</v>
      </c>
      <c r="I55" s="20">
        <f>[1]Park!F33</f>
        <v>-1189.5800000000745</v>
      </c>
      <c r="J55" s="26">
        <f>IF(G55&gt;H55,0,I55*-1)</f>
        <v>1189.5800000000745</v>
      </c>
      <c r="K55" s="27">
        <f>IF(G55&gt;H55,I55,0)</f>
        <v>0</v>
      </c>
      <c r="M55" s="23"/>
      <c r="N55" s="23"/>
    </row>
    <row r="56" spans="1:16" x14ac:dyDescent="0.25">
      <c r="A56" s="14"/>
      <c r="B56" s="15"/>
      <c r="C56" s="29" t="s">
        <v>20</v>
      </c>
      <c r="D56" s="30">
        <f>SUM(D54:D55)</f>
        <v>171.8</v>
      </c>
      <c r="E56" s="30">
        <f>SUM(E54:E55)</f>
        <v>168</v>
      </c>
      <c r="F56" s="30">
        <f>SUM(F54:F55)</f>
        <v>54</v>
      </c>
      <c r="G56" s="18"/>
      <c r="H56" s="19"/>
      <c r="I56" s="31">
        <f>SUM(I54:I55)</f>
        <v>-3343.5300000000861</v>
      </c>
      <c r="J56" s="24">
        <f>SUM(J54:J55)</f>
        <v>3343.5300000000861</v>
      </c>
      <c r="K56" s="25">
        <f>SUM(K54:K55)</f>
        <v>0</v>
      </c>
      <c r="M56" s="23"/>
      <c r="N56" s="23"/>
    </row>
    <row r="57" spans="1:16" x14ac:dyDescent="0.25">
      <c r="A57" s="14"/>
      <c r="B57" s="15"/>
      <c r="C57" s="14"/>
      <c r="D57" s="16"/>
      <c r="E57" s="17"/>
      <c r="F57" s="17"/>
      <c r="G57" s="18"/>
      <c r="H57" s="19"/>
      <c r="I57" s="20"/>
      <c r="J57" s="26"/>
      <c r="K57" s="27"/>
      <c r="M57" s="23"/>
      <c r="N57" s="23"/>
    </row>
    <row r="58" spans="1:16" x14ac:dyDescent="0.25">
      <c r="A58" s="14" t="s">
        <v>67</v>
      </c>
      <c r="B58" s="15" t="s">
        <v>68</v>
      </c>
      <c r="C58" s="14" t="s">
        <v>69</v>
      </c>
      <c r="D58" s="16">
        <f>[1]Lamar!E6</f>
        <v>135.19999999999999</v>
      </c>
      <c r="E58" s="16">
        <f>[1]Lamar!E17</f>
        <v>132</v>
      </c>
      <c r="F58" s="16">
        <f>[1]Lamar!E12</f>
        <v>39</v>
      </c>
      <c r="G58" s="18">
        <f>F58/E58</f>
        <v>0.29545454545454547</v>
      </c>
      <c r="H58" s="35">
        <f>[1]Lamar!E18</f>
        <v>0.29545454545454547</v>
      </c>
      <c r="I58" s="28">
        <f>[1]Lamar!E33</f>
        <v>-55882.520000000019</v>
      </c>
      <c r="J58" s="24">
        <f>IF(G58&gt;H58,0,I58*-1)</f>
        <v>55882.520000000019</v>
      </c>
      <c r="K58" s="25">
        <f>IF(G58&gt;H58,I58,0)</f>
        <v>0</v>
      </c>
      <c r="M58" s="23"/>
      <c r="N58" s="23"/>
    </row>
    <row r="59" spans="1:16" x14ac:dyDescent="0.25">
      <c r="A59" s="14"/>
      <c r="B59" s="15"/>
      <c r="C59" s="14"/>
      <c r="D59" s="16"/>
      <c r="E59" s="17"/>
      <c r="F59" s="17"/>
      <c r="G59" s="18"/>
      <c r="H59" s="19"/>
      <c r="I59" s="20"/>
      <c r="J59" s="26"/>
      <c r="K59" s="27"/>
      <c r="M59" s="23"/>
      <c r="N59" s="23"/>
    </row>
    <row r="60" spans="1:16" x14ac:dyDescent="0.25">
      <c r="A60" s="14" t="s">
        <v>70</v>
      </c>
      <c r="B60" s="15" t="s">
        <v>71</v>
      </c>
      <c r="C60" s="14" t="s">
        <v>72</v>
      </c>
      <c r="D60" s="16">
        <f>'[1]Pueblo city'!E6</f>
        <v>1033.9000000000001</v>
      </c>
      <c r="E60" s="16">
        <f>'[1]Pueblo city'!E17</f>
        <v>1026</v>
      </c>
      <c r="F60" s="16">
        <f>'[1]Pueblo city'!E12</f>
        <v>749</v>
      </c>
      <c r="G60" s="18">
        <f>F60/E60</f>
        <v>0.7300194931773879</v>
      </c>
      <c r="H60" s="35">
        <f>'[1]Pueblo city'!B18</f>
        <v>0.71679999999999999</v>
      </c>
      <c r="I60" s="20">
        <f>'[1]Pueblo city'!E33</f>
        <v>18411.009999999776</v>
      </c>
      <c r="J60" s="26">
        <f>IF(G60&gt;H60,0,I60*-1)</f>
        <v>0</v>
      </c>
      <c r="K60" s="27">
        <f>IF(G60&gt;H60,I60,0)</f>
        <v>18411.009999999776</v>
      </c>
      <c r="M60" s="23"/>
      <c r="N60" s="23"/>
    </row>
    <row r="61" spans="1:16" x14ac:dyDescent="0.25">
      <c r="A61" s="14"/>
      <c r="B61" s="15"/>
      <c r="C61" s="14" t="s">
        <v>73</v>
      </c>
      <c r="D61" s="16">
        <f>'[1]Pueblo city'!F6</f>
        <v>461</v>
      </c>
      <c r="E61" s="16">
        <f>'[1]Pueblo city'!F17</f>
        <v>454</v>
      </c>
      <c r="F61" s="16">
        <f>'[1]Pueblo city'!F12</f>
        <v>186</v>
      </c>
      <c r="G61" s="18">
        <f>F61/E61</f>
        <v>0.40969162995594716</v>
      </c>
      <c r="H61" s="35">
        <f>'[1]Pueblo city'!B18</f>
        <v>0.71679999999999999</v>
      </c>
      <c r="I61" s="20">
        <f>'[1]Pueblo city'!F33</f>
        <v>-190998.12999999989</v>
      </c>
      <c r="J61" s="26">
        <f>IF(G61&gt;H61,0,I61*-1)</f>
        <v>190998.12999999989</v>
      </c>
      <c r="K61" s="27">
        <f>IF(G61&gt;H61,I61,0)</f>
        <v>0</v>
      </c>
      <c r="M61" s="23"/>
      <c r="N61" s="23"/>
    </row>
    <row r="62" spans="1:16" x14ac:dyDescent="0.25">
      <c r="A62" s="14"/>
      <c r="B62" s="15"/>
      <c r="C62" s="29" t="s">
        <v>20</v>
      </c>
      <c r="D62" s="30">
        <f>SUM(D60:D61)</f>
        <v>1494.9</v>
      </c>
      <c r="E62" s="30">
        <f>SUM(E60:E61)</f>
        <v>1480</v>
      </c>
      <c r="F62" s="30">
        <f>SUM(F60:F61)</f>
        <v>935</v>
      </c>
      <c r="G62" s="18"/>
      <c r="H62" s="19"/>
      <c r="I62" s="31">
        <f>SUM(I60:I61)</f>
        <v>-172587.12000000011</v>
      </c>
      <c r="J62" s="24">
        <f>SUM(J60:J61)</f>
        <v>190998.12999999989</v>
      </c>
      <c r="K62" s="25">
        <f>SUM(K60:K61)</f>
        <v>18411.009999999776</v>
      </c>
      <c r="M62" s="32"/>
      <c r="N62" s="23"/>
    </row>
    <row r="63" spans="1:16" x14ac:dyDescent="0.25">
      <c r="A63" s="14"/>
      <c r="B63" s="15"/>
      <c r="C63" s="14"/>
      <c r="D63" s="16"/>
      <c r="E63" s="17"/>
      <c r="F63" s="17"/>
      <c r="G63" s="18"/>
      <c r="H63" s="19"/>
      <c r="I63" s="20"/>
      <c r="J63" s="26"/>
      <c r="K63" s="27"/>
      <c r="M63" s="23"/>
      <c r="N63" s="23"/>
    </row>
    <row r="64" spans="1:16" x14ac:dyDescent="0.25">
      <c r="A64" s="14" t="s">
        <v>74</v>
      </c>
      <c r="B64" s="15" t="s">
        <v>75</v>
      </c>
      <c r="C64" s="14" t="s">
        <v>76</v>
      </c>
      <c r="D64" s="16">
        <f>[1]Moffat!E6</f>
        <v>89.1</v>
      </c>
      <c r="E64" s="16">
        <f>[1]Moffat!E17</f>
        <v>88</v>
      </c>
      <c r="F64" s="16">
        <f>[1]Moffat!E12</f>
        <v>62</v>
      </c>
      <c r="G64" s="18">
        <f>F64/E64</f>
        <v>0.70454545454545459</v>
      </c>
      <c r="H64" s="35">
        <f>[1]Moffat!B18</f>
        <v>0.76419999999999999</v>
      </c>
      <c r="I64" s="28">
        <f>[1]Moffat!E33</f>
        <v>-8892.4099999999162</v>
      </c>
      <c r="J64" s="24">
        <f>IF(G64&gt;H64,0,I64*-1)</f>
        <v>8892.4099999999162</v>
      </c>
      <c r="K64" s="25">
        <f>IF(G64&gt;H64,I64,0)</f>
        <v>0</v>
      </c>
      <c r="M64" s="23"/>
      <c r="N64" s="23"/>
    </row>
    <row r="65" spans="1:14" x14ac:dyDescent="0.25">
      <c r="A65" s="14"/>
      <c r="B65" s="15"/>
      <c r="C65" s="14"/>
      <c r="D65" s="16"/>
      <c r="E65" s="17"/>
      <c r="F65" s="17"/>
      <c r="G65" s="18"/>
      <c r="H65" s="19"/>
      <c r="I65" s="20"/>
      <c r="J65" s="26"/>
      <c r="K65" s="27"/>
      <c r="M65" s="23"/>
      <c r="N65" s="23"/>
    </row>
    <row r="66" spans="1:14" x14ac:dyDescent="0.25">
      <c r="A66" s="14" t="s">
        <v>77</v>
      </c>
      <c r="B66" s="15" t="s">
        <v>78</v>
      </c>
      <c r="C66" s="14" t="s">
        <v>79</v>
      </c>
      <c r="D66" s="16">
        <f>[1]Keenesburg!E6</f>
        <v>191.2</v>
      </c>
      <c r="E66" s="16">
        <f>[1]Keenesburg!E17</f>
        <v>188</v>
      </c>
      <c r="F66" s="16">
        <f>[1]Keenesburg!E12</f>
        <v>9</v>
      </c>
      <c r="G66" s="18">
        <f>F66/E66</f>
        <v>4.7872340425531915E-2</v>
      </c>
      <c r="H66" s="39">
        <f>[1]Keenesburg!B18</f>
        <v>0.33050000000000002</v>
      </c>
      <c r="I66" s="20">
        <f>[1]Keenesburg!E33</f>
        <v>-53768.5</v>
      </c>
      <c r="J66" s="24">
        <f>IF(G66&gt;H66,0,I66*-1)</f>
        <v>53768.5</v>
      </c>
      <c r="K66" s="25">
        <f>IF(G66&gt;H66,I66,0)</f>
        <v>0</v>
      </c>
      <c r="M66" s="23"/>
      <c r="N66" s="23"/>
    </row>
    <row r="67" spans="1:14" x14ac:dyDescent="0.25">
      <c r="A67" s="14"/>
      <c r="B67" s="15"/>
      <c r="C67" s="14"/>
      <c r="D67" s="16"/>
      <c r="E67" s="17"/>
      <c r="F67" s="17"/>
      <c r="G67" s="18"/>
      <c r="H67" s="18"/>
      <c r="I67" s="20"/>
      <c r="J67" s="26"/>
      <c r="K67" s="27"/>
      <c r="M67" s="23"/>
      <c r="N67" s="23"/>
    </row>
    <row r="68" spans="1:14" x14ac:dyDescent="0.25">
      <c r="A68" s="14"/>
      <c r="B68" s="15" t="s">
        <v>80</v>
      </c>
      <c r="C68" s="14" t="s">
        <v>81</v>
      </c>
      <c r="D68" s="16">
        <f>[1]Greeley!E6</f>
        <v>1529.7</v>
      </c>
      <c r="E68" s="16">
        <f>[1]Greeley!E17</f>
        <v>1628</v>
      </c>
      <c r="F68" s="16">
        <f>[1]Greeley!E12</f>
        <v>204</v>
      </c>
      <c r="G68" s="18">
        <f>F68/E68</f>
        <v>0.12530712530712532</v>
      </c>
      <c r="H68" s="35">
        <f>[1]Greeley!B$18</f>
        <v>0.51649999999999996</v>
      </c>
      <c r="I68" s="20">
        <f>[1]Greeley!E33</f>
        <v>-680845.9299999997</v>
      </c>
      <c r="J68" s="26">
        <f>IF(G68&gt;H68,0,I68*-1)</f>
        <v>680845.9299999997</v>
      </c>
      <c r="K68" s="27">
        <f>IF(G68&gt;H68,I68,0)</f>
        <v>0</v>
      </c>
      <c r="M68" s="23"/>
      <c r="N68" s="23"/>
    </row>
    <row r="69" spans="1:14" x14ac:dyDescent="0.25">
      <c r="A69" s="14"/>
      <c r="B69" s="15"/>
      <c r="C69" s="14" t="s">
        <v>82</v>
      </c>
      <c r="D69" s="16">
        <f>[1]Greeley!F6</f>
        <v>1768.6</v>
      </c>
      <c r="E69" s="16">
        <f>[1]Greeley!F17</f>
        <v>1774</v>
      </c>
      <c r="F69" s="16">
        <f>[1]Greeley!F12</f>
        <v>402</v>
      </c>
      <c r="G69" s="18">
        <f>F69/E69</f>
        <v>0.2266065388951522</v>
      </c>
      <c r="H69" s="35">
        <f>[1]Greeley!B$18</f>
        <v>0.51649999999999996</v>
      </c>
      <c r="I69" s="20">
        <f>[1]Greeley!F33</f>
        <v>-583345.49000000022</v>
      </c>
      <c r="J69" s="26">
        <f>IF(G69&gt;H69,0,I69*-1)</f>
        <v>583345.49000000022</v>
      </c>
      <c r="K69" s="27">
        <f>IF(G69&gt;H69,I69,0)</f>
        <v>0</v>
      </c>
      <c r="M69" s="23"/>
      <c r="N69" s="23"/>
    </row>
    <row r="70" spans="1:14" x14ac:dyDescent="0.25">
      <c r="A70" s="14"/>
      <c r="B70" s="15"/>
      <c r="C70" s="14" t="s">
        <v>83</v>
      </c>
      <c r="D70" s="16">
        <f>[1]Greeley!G6</f>
        <v>868.4</v>
      </c>
      <c r="E70" s="16">
        <f>[1]Greeley!G17</f>
        <v>864</v>
      </c>
      <c r="F70" s="16">
        <f>[1]Greeley!G12</f>
        <v>408</v>
      </c>
      <c r="G70" s="18">
        <f>F70/E70</f>
        <v>0.47222222222222221</v>
      </c>
      <c r="H70" s="35">
        <f>[1]Greeley!B$18</f>
        <v>0.51649999999999996</v>
      </c>
      <c r="I70" s="20">
        <f>[1]Greeley!G33</f>
        <v>-43757.75</v>
      </c>
      <c r="J70" s="26">
        <f>IF(G70&gt;H70,0,I70*-1)</f>
        <v>43757.75</v>
      </c>
      <c r="K70" s="27">
        <f>IF(G70&gt;H70,I70,0)</f>
        <v>0</v>
      </c>
      <c r="M70" s="23"/>
      <c r="N70" s="23"/>
    </row>
    <row r="71" spans="1:14" x14ac:dyDescent="0.25">
      <c r="A71" s="14"/>
      <c r="B71" s="15"/>
      <c r="C71" s="29" t="s">
        <v>20</v>
      </c>
      <c r="D71" s="30">
        <f>SUM(D68:D70)</f>
        <v>4166.7</v>
      </c>
      <c r="E71" s="30">
        <f>SUM(E68:E70)</f>
        <v>4266</v>
      </c>
      <c r="F71" s="30">
        <f>SUM(F68:F70)</f>
        <v>1014</v>
      </c>
      <c r="G71" s="18"/>
      <c r="H71" s="19"/>
      <c r="I71" s="31">
        <f>SUM(I68:I70)</f>
        <v>-1307949.17</v>
      </c>
      <c r="J71" s="24">
        <f>SUM(J68:J70)</f>
        <v>1307949.17</v>
      </c>
      <c r="K71" s="25">
        <f>SUM(K68:K70)</f>
        <v>0</v>
      </c>
      <c r="M71" s="32"/>
      <c r="N71" s="23"/>
    </row>
    <row r="72" spans="1:14" x14ac:dyDescent="0.25">
      <c r="A72" s="14"/>
      <c r="B72" s="15"/>
      <c r="C72" s="14"/>
      <c r="D72" s="40"/>
      <c r="G72" s="18"/>
      <c r="H72" s="19"/>
      <c r="I72" s="41"/>
      <c r="J72" s="42"/>
      <c r="K72" s="43"/>
    </row>
    <row r="73" spans="1:14" ht="10.5" customHeight="1" thickBot="1" x14ac:dyDescent="0.3">
      <c r="A73" s="44"/>
      <c r="B73" s="45"/>
      <c r="C73" s="44"/>
      <c r="D73" s="46"/>
      <c r="E73" s="47"/>
      <c r="F73" s="47"/>
      <c r="G73" s="48"/>
      <c r="H73" s="49"/>
      <c r="I73" s="50"/>
      <c r="J73" s="51"/>
      <c r="K73" s="52"/>
    </row>
    <row r="74" spans="1:14" ht="13.8" thickBot="1" x14ac:dyDescent="0.3">
      <c r="A74" s="53" t="s">
        <v>84</v>
      </c>
      <c r="B74" s="54"/>
      <c r="C74" s="55"/>
      <c r="D74" s="56"/>
      <c r="E74" s="57"/>
      <c r="F74" s="57"/>
      <c r="G74" s="58"/>
      <c r="H74" s="58"/>
      <c r="I74" s="59">
        <f>I7+I11+I23+I27+I34+I36+I38+I42+I46+I50+I52+I56+I58+I62+I64+I66+I71</f>
        <v>-1990227.2701277321</v>
      </c>
      <c r="J74" s="60">
        <f>J7+J11+J23+J27+J34+J36+J38+J42+J46+J50+J52+J56+J58+J62+J64+J66+J71</f>
        <v>2659814.7043456268</v>
      </c>
      <c r="K74" s="60">
        <f>K7+K11+K23+K27+K34+K36+K38+K42+K46+K50+K52+K56+K58+K62+K64+K66+K71</f>
        <v>669587.4342178948</v>
      </c>
      <c r="M74" s="61"/>
      <c r="N74" s="62"/>
    </row>
    <row r="75" spans="1:14" ht="17.25" customHeight="1" x14ac:dyDescent="0.25">
      <c r="D75" s="63"/>
      <c r="I75" s="64"/>
      <c r="J75" s="64"/>
      <c r="K75" s="64"/>
    </row>
    <row r="76" spans="1:14" hidden="1" x14ac:dyDescent="0.25">
      <c r="B76" s="2">
        <f>0.35*150</f>
        <v>52.5</v>
      </c>
      <c r="C76" s="2">
        <f>132</f>
        <v>132</v>
      </c>
    </row>
    <row r="77" spans="1:14" hidden="1" x14ac:dyDescent="0.25">
      <c r="B77" s="2">
        <v>150</v>
      </c>
      <c r="C77" s="2">
        <f>C76*0.65</f>
        <v>85.8</v>
      </c>
    </row>
    <row r="78" spans="1:14" hidden="1" x14ac:dyDescent="0.25">
      <c r="B78" s="2">
        <f>B77-B76</f>
        <v>97.5</v>
      </c>
      <c r="C78" s="2">
        <f>86*450</f>
        <v>38700</v>
      </c>
    </row>
    <row r="79" spans="1:14" hidden="1" x14ac:dyDescent="0.25">
      <c r="B79" s="2">
        <f>B78*450</f>
        <v>43875</v>
      </c>
      <c r="C79" s="2">
        <f>C78*0.25</f>
        <v>9675</v>
      </c>
    </row>
    <row r="80" spans="1:14" hidden="1" x14ac:dyDescent="0.25">
      <c r="I80" s="64"/>
      <c r="J80" s="64"/>
      <c r="K80" s="64"/>
    </row>
    <row r="81" spans="1:14" x14ac:dyDescent="0.25">
      <c r="I81" s="64"/>
      <c r="J81" s="64"/>
      <c r="K81" s="64"/>
    </row>
    <row r="82" spans="1:14" x14ac:dyDescent="0.25">
      <c r="A82" s="1" t="s">
        <v>85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4" hidden="1" x14ac:dyDescent="0.25">
      <c r="A83" s="1" t="s">
        <v>86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4" x14ac:dyDescent="0.25">
      <c r="A84" s="1" t="s">
        <v>1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4" ht="13.8" thickBot="1" x14ac:dyDescent="0.3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4" ht="40.200000000000003" thickBot="1" x14ac:dyDescent="0.3">
      <c r="A86" s="53" t="s">
        <v>2</v>
      </c>
      <c r="B86" s="66" t="s">
        <v>87</v>
      </c>
      <c r="C86" s="4" t="s">
        <v>88</v>
      </c>
      <c r="D86" s="6" t="s">
        <v>5</v>
      </c>
      <c r="E86" s="6" t="s">
        <v>6</v>
      </c>
      <c r="F86" s="7" t="s">
        <v>7</v>
      </c>
      <c r="G86" s="6" t="s">
        <v>89</v>
      </c>
      <c r="H86" s="8" t="s">
        <v>90</v>
      </c>
      <c r="I86" s="6" t="s">
        <v>91</v>
      </c>
      <c r="J86" s="67" t="s">
        <v>11</v>
      </c>
      <c r="K86" s="8" t="s">
        <v>12</v>
      </c>
      <c r="N86" s="13"/>
    </row>
    <row r="87" spans="1:14" ht="43.5" customHeight="1" x14ac:dyDescent="0.25">
      <c r="A87" s="29"/>
      <c r="B87" s="15"/>
      <c r="C87" s="68"/>
      <c r="D87" s="13"/>
      <c r="E87" s="13"/>
      <c r="F87" s="65"/>
      <c r="G87" s="13"/>
      <c r="H87" s="69"/>
      <c r="I87" s="70"/>
      <c r="J87" s="71"/>
      <c r="K87" s="72"/>
      <c r="N87" s="13"/>
    </row>
    <row r="88" spans="1:14" x14ac:dyDescent="0.25">
      <c r="A88" s="2" t="s">
        <v>92</v>
      </c>
      <c r="B88" s="15" t="s">
        <v>93</v>
      </c>
      <c r="C88" s="12" t="s">
        <v>94</v>
      </c>
      <c r="D88" s="73">
        <v>1839</v>
      </c>
      <c r="E88" s="13"/>
      <c r="F88" s="65"/>
      <c r="G88" s="74">
        <v>0.13843648208469056</v>
      </c>
      <c r="H88" s="69">
        <v>0.3206</v>
      </c>
      <c r="I88" s="70">
        <v>-348468.21587592177</v>
      </c>
      <c r="J88" s="71"/>
      <c r="K88" s="75">
        <f t="shared" ref="K88:K97" si="3">ROUND(-I88*0.5,2)</f>
        <v>174234.11</v>
      </c>
      <c r="N88" s="23"/>
    </row>
    <row r="89" spans="1:14" x14ac:dyDescent="0.25">
      <c r="B89" s="15"/>
      <c r="C89" s="12" t="s">
        <v>95</v>
      </c>
      <c r="D89" s="73">
        <v>873.2</v>
      </c>
      <c r="E89" s="13"/>
      <c r="F89" s="65"/>
      <c r="G89" s="74">
        <v>0.28765571913929783</v>
      </c>
      <c r="H89" s="69">
        <v>0.3206</v>
      </c>
      <c r="I89" s="70">
        <v>-31974.734979256988</v>
      </c>
      <c r="J89" s="71"/>
      <c r="K89" s="75">
        <f t="shared" si="3"/>
        <v>15987.37</v>
      </c>
      <c r="N89" s="23"/>
    </row>
    <row r="90" spans="1:14" x14ac:dyDescent="0.25">
      <c r="B90" s="15" t="s">
        <v>96</v>
      </c>
      <c r="C90" s="12" t="s">
        <v>97</v>
      </c>
      <c r="D90" s="73">
        <v>767.5</v>
      </c>
      <c r="E90" s="13"/>
      <c r="F90" s="65"/>
      <c r="G90" s="74">
        <v>0.58300132802124838</v>
      </c>
      <c r="H90" s="69">
        <v>0.68459999999999999</v>
      </c>
      <c r="I90" s="70">
        <v>-104449.42508859187</v>
      </c>
      <c r="J90" s="71"/>
      <c r="K90" s="75">
        <f t="shared" si="3"/>
        <v>52224.71</v>
      </c>
      <c r="N90" s="23"/>
    </row>
    <row r="91" spans="1:14" x14ac:dyDescent="0.25">
      <c r="A91" s="14"/>
      <c r="B91" s="15" t="s">
        <v>98</v>
      </c>
      <c r="C91" s="76" t="s">
        <v>99</v>
      </c>
      <c r="D91" s="77">
        <v>469</v>
      </c>
      <c r="E91" s="65"/>
      <c r="F91" s="65"/>
      <c r="G91" s="74">
        <v>0.33901918976545842</v>
      </c>
      <c r="H91" s="69">
        <v>0.65310000000000001</v>
      </c>
      <c r="I91" s="70">
        <v>-191331.37192101823</v>
      </c>
      <c r="J91" s="71"/>
      <c r="K91" s="75">
        <f>ROUND(-I91*0.5,2)</f>
        <v>95665.69</v>
      </c>
      <c r="N91" s="23"/>
    </row>
    <row r="92" spans="1:14" x14ac:dyDescent="0.25">
      <c r="A92" s="14"/>
      <c r="B92" s="15"/>
      <c r="C92" s="76" t="s">
        <v>100</v>
      </c>
      <c r="D92" s="77">
        <v>335</v>
      </c>
      <c r="E92" s="65"/>
      <c r="F92" s="65"/>
      <c r="G92" s="74">
        <v>0.4925373134328358</v>
      </c>
      <c r="H92" s="69">
        <v>0.65310000000000001</v>
      </c>
      <c r="I92" s="70">
        <v>-70352.015657869633</v>
      </c>
      <c r="J92" s="71"/>
      <c r="K92" s="75">
        <f>ROUND(-I92*0.5,2)</f>
        <v>35176.01</v>
      </c>
      <c r="N92" s="23"/>
    </row>
    <row r="93" spans="1:14" x14ac:dyDescent="0.25">
      <c r="A93" s="14"/>
      <c r="B93" s="15"/>
      <c r="C93" s="76" t="s">
        <v>101</v>
      </c>
      <c r="D93" s="77">
        <v>257</v>
      </c>
      <c r="E93" s="65"/>
      <c r="F93" s="65"/>
      <c r="G93" s="74">
        <v>0.63601532567049812</v>
      </c>
      <c r="H93" s="69">
        <v>0.65310000000000001</v>
      </c>
      <c r="I93" s="70">
        <v>-6426.5463405149058</v>
      </c>
      <c r="J93" s="71"/>
      <c r="K93" s="75">
        <f>ROUND(-I93*0.5,2)</f>
        <v>3213.27</v>
      </c>
      <c r="N93" s="23"/>
    </row>
    <row r="94" spans="1:14" x14ac:dyDescent="0.25">
      <c r="A94" s="14"/>
      <c r="B94" s="15"/>
      <c r="C94" s="76"/>
      <c r="D94" s="77"/>
      <c r="E94" s="65"/>
      <c r="F94" s="65"/>
      <c r="G94" s="74"/>
      <c r="H94" s="69"/>
      <c r="I94" s="70"/>
      <c r="J94" s="71"/>
      <c r="K94" s="75"/>
      <c r="N94" s="23"/>
    </row>
    <row r="95" spans="1:14" x14ac:dyDescent="0.25">
      <c r="A95" s="2" t="s">
        <v>13</v>
      </c>
      <c r="B95" s="15" t="s">
        <v>102</v>
      </c>
      <c r="C95" s="76" t="s">
        <v>103</v>
      </c>
      <c r="D95" s="77">
        <v>342.5</v>
      </c>
      <c r="E95" s="65"/>
      <c r="F95" s="65"/>
      <c r="G95" s="74">
        <v>0.46060000000000001</v>
      </c>
      <c r="H95" s="69">
        <v>0.67920000000000003</v>
      </c>
      <c r="I95" s="70">
        <v>-107314.91815329576</v>
      </c>
      <c r="J95" s="71"/>
      <c r="K95" s="75">
        <f t="shared" si="3"/>
        <v>53657.46</v>
      </c>
      <c r="N95" s="23"/>
    </row>
    <row r="96" spans="1:14" x14ac:dyDescent="0.25">
      <c r="B96" s="15"/>
      <c r="C96" s="76" t="s">
        <v>104</v>
      </c>
      <c r="D96" s="77">
        <v>308</v>
      </c>
      <c r="E96" s="65"/>
      <c r="F96" s="65"/>
      <c r="G96" s="74">
        <v>0.4945</v>
      </c>
      <c r="H96" s="69">
        <v>0.67920000000000003</v>
      </c>
      <c r="I96" s="70">
        <v>-81659.494280920364</v>
      </c>
      <c r="J96" s="71"/>
      <c r="K96" s="75">
        <f t="shared" si="3"/>
        <v>40829.75</v>
      </c>
      <c r="N96" s="23"/>
    </row>
    <row r="97" spans="1:14" x14ac:dyDescent="0.25">
      <c r="A97" s="14"/>
      <c r="B97" s="15"/>
      <c r="C97" s="78" t="s">
        <v>105</v>
      </c>
      <c r="D97" s="77">
        <v>278</v>
      </c>
      <c r="E97" s="65"/>
      <c r="F97" s="65"/>
      <c r="G97" s="74">
        <v>0.59299999999999997</v>
      </c>
      <c r="H97" s="69">
        <v>0.67920000000000003</v>
      </c>
      <c r="I97" s="70">
        <v>-34743.947435375769</v>
      </c>
      <c r="J97" s="71"/>
      <c r="K97" s="75">
        <f t="shared" si="3"/>
        <v>17371.97</v>
      </c>
      <c r="N97" s="23"/>
    </row>
    <row r="98" spans="1:14" x14ac:dyDescent="0.25">
      <c r="A98" s="29"/>
      <c r="B98" s="79"/>
      <c r="C98" s="80"/>
      <c r="D98" s="81"/>
      <c r="E98" s="65"/>
      <c r="F98" s="65"/>
      <c r="G98" s="13"/>
      <c r="H98" s="72"/>
      <c r="I98" s="70"/>
      <c r="J98" s="71"/>
      <c r="K98" s="75"/>
      <c r="N98" s="23"/>
    </row>
    <row r="99" spans="1:14" x14ac:dyDescent="0.25">
      <c r="A99" s="14" t="s">
        <v>106</v>
      </c>
      <c r="B99" s="15" t="s">
        <v>107</v>
      </c>
      <c r="C99" s="82" t="s">
        <v>108</v>
      </c>
      <c r="D99" s="73">
        <v>86</v>
      </c>
      <c r="E99" s="83"/>
      <c r="F99" s="83"/>
      <c r="G99" s="74">
        <v>0.1163</v>
      </c>
      <c r="H99" s="69">
        <v>0.30959999999999999</v>
      </c>
      <c r="I99" s="70">
        <v>-16989.24812380923</v>
      </c>
      <c r="J99" s="71"/>
      <c r="K99" s="75">
        <f>ROUND(-I99*0.5,2)</f>
        <v>8494.6200000000008</v>
      </c>
      <c r="N99" s="23"/>
    </row>
    <row r="100" spans="1:14" x14ac:dyDescent="0.25">
      <c r="A100" s="14"/>
      <c r="B100" s="15"/>
      <c r="C100" s="82"/>
      <c r="D100" s="73"/>
      <c r="E100" s="83"/>
      <c r="F100" s="83"/>
      <c r="G100" s="74"/>
      <c r="H100" s="69"/>
      <c r="I100" s="70"/>
      <c r="J100" s="71"/>
      <c r="K100" s="75"/>
      <c r="N100" s="23"/>
    </row>
    <row r="101" spans="1:14" x14ac:dyDescent="0.25">
      <c r="A101" s="14" t="s">
        <v>109</v>
      </c>
      <c r="B101" s="15" t="s">
        <v>109</v>
      </c>
      <c r="C101" s="82" t="s">
        <v>110</v>
      </c>
      <c r="D101" s="73">
        <v>631</v>
      </c>
      <c r="E101" s="83"/>
      <c r="F101" s="83"/>
      <c r="G101" s="74">
        <v>2.46E-2</v>
      </c>
      <c r="H101" s="69">
        <v>9.5200000000000007E-2</v>
      </c>
      <c r="I101" s="70">
        <v>-42278.34</v>
      </c>
      <c r="J101" s="71"/>
      <c r="K101" s="75">
        <f>ROUND(-I101*0.5,2)</f>
        <v>21139.17</v>
      </c>
      <c r="N101" s="23"/>
    </row>
    <row r="102" spans="1:14" x14ac:dyDescent="0.25">
      <c r="A102" s="14"/>
      <c r="B102" s="15"/>
      <c r="C102" s="82"/>
      <c r="D102" s="73"/>
      <c r="E102" s="83"/>
      <c r="F102" s="83"/>
      <c r="G102" s="84"/>
      <c r="H102" s="85"/>
      <c r="I102" s="70"/>
      <c r="J102" s="71"/>
      <c r="K102" s="75"/>
      <c r="N102" s="23"/>
    </row>
    <row r="103" spans="1:14" x14ac:dyDescent="0.25">
      <c r="A103" s="76" t="s">
        <v>111</v>
      </c>
      <c r="B103" s="86" t="s">
        <v>111</v>
      </c>
      <c r="C103" s="87" t="s">
        <v>112</v>
      </c>
      <c r="D103" s="77">
        <v>321</v>
      </c>
      <c r="E103" s="65"/>
      <c r="F103" s="65"/>
      <c r="G103" s="74">
        <v>6.8000000000000005E-2</v>
      </c>
      <c r="H103" s="69">
        <v>0.29299999999999998</v>
      </c>
      <c r="I103" s="70">
        <v>-56505.43</v>
      </c>
      <c r="J103" s="71"/>
      <c r="K103" s="75">
        <f>ROUND(-I103*0.5,2)</f>
        <v>28252.720000000001</v>
      </c>
      <c r="N103" s="23"/>
    </row>
    <row r="104" spans="1:14" x14ac:dyDescent="0.25">
      <c r="A104" s="76"/>
      <c r="B104" s="86"/>
      <c r="C104" s="87"/>
      <c r="D104" s="77"/>
      <c r="E104" s="65"/>
      <c r="F104" s="65"/>
      <c r="G104" s="13"/>
      <c r="H104" s="72"/>
      <c r="I104" s="70"/>
      <c r="J104" s="71"/>
      <c r="K104" s="75"/>
      <c r="N104" s="23"/>
    </row>
    <row r="105" spans="1:14" x14ac:dyDescent="0.25">
      <c r="A105" s="76" t="s">
        <v>34</v>
      </c>
      <c r="B105" s="86" t="s">
        <v>113</v>
      </c>
      <c r="C105" s="76" t="s">
        <v>114</v>
      </c>
      <c r="D105" s="77">
        <v>495.5</v>
      </c>
      <c r="G105" s="74">
        <v>0.31240000000000001</v>
      </c>
      <c r="H105" s="69">
        <v>0.4829</v>
      </c>
      <c r="I105" s="88">
        <v>-90682.248546677642</v>
      </c>
      <c r="J105" s="14"/>
      <c r="K105" s="75">
        <f t="shared" ref="K105:K112" si="4">ROUND(-I105*0.5,2)</f>
        <v>45341.120000000003</v>
      </c>
      <c r="N105" s="23"/>
    </row>
    <row r="106" spans="1:14" x14ac:dyDescent="0.25">
      <c r="A106" s="76"/>
      <c r="B106" s="86"/>
      <c r="C106" s="76" t="s">
        <v>115</v>
      </c>
      <c r="D106" s="77">
        <v>430</v>
      </c>
      <c r="G106" s="74">
        <v>0.22040000000000001</v>
      </c>
      <c r="H106" s="69">
        <v>0.4829</v>
      </c>
      <c r="I106" s="88">
        <v>-120688.78864797391</v>
      </c>
      <c r="J106" s="14"/>
      <c r="K106" s="75">
        <f t="shared" si="4"/>
        <v>60344.39</v>
      </c>
      <c r="N106" s="23"/>
    </row>
    <row r="107" spans="1:14" x14ac:dyDescent="0.25">
      <c r="A107" s="76"/>
      <c r="B107" s="86"/>
      <c r="C107" s="76" t="s">
        <v>116</v>
      </c>
      <c r="D107" s="77">
        <v>568.5</v>
      </c>
      <c r="G107" s="74">
        <v>0.15540000000000001</v>
      </c>
      <c r="H107" s="69">
        <v>0.4829</v>
      </c>
      <c r="I107" s="88">
        <v>-176526.36196895968</v>
      </c>
      <c r="J107" s="14"/>
      <c r="K107" s="75">
        <f t="shared" si="4"/>
        <v>88263.18</v>
      </c>
      <c r="N107" s="23"/>
    </row>
    <row r="108" spans="1:14" x14ac:dyDescent="0.25">
      <c r="A108" s="76"/>
      <c r="B108" s="86"/>
      <c r="C108" s="89" t="s">
        <v>117</v>
      </c>
      <c r="D108" s="77">
        <v>357</v>
      </c>
      <c r="G108" s="74">
        <v>0.29659999999999997</v>
      </c>
      <c r="H108" s="69">
        <v>0.4829</v>
      </c>
      <c r="I108" s="88">
        <v>-71318.461737969425</v>
      </c>
      <c r="J108" s="14"/>
      <c r="K108" s="75">
        <f t="shared" si="4"/>
        <v>35659.230000000003</v>
      </c>
      <c r="N108" s="23"/>
    </row>
    <row r="109" spans="1:14" x14ac:dyDescent="0.25">
      <c r="A109" s="76"/>
      <c r="B109" s="86"/>
      <c r="C109" s="89" t="s">
        <v>118</v>
      </c>
      <c r="D109" s="77">
        <v>326</v>
      </c>
      <c r="G109" s="74">
        <v>0.38340000000000002</v>
      </c>
      <c r="H109" s="69">
        <v>0.4829</v>
      </c>
      <c r="I109" s="88">
        <v>-35058.562091255095</v>
      </c>
      <c r="J109" s="14"/>
      <c r="K109" s="75">
        <f t="shared" si="4"/>
        <v>17529.28</v>
      </c>
      <c r="N109" s="23"/>
    </row>
    <row r="110" spans="1:14" x14ac:dyDescent="0.25">
      <c r="A110" s="76"/>
      <c r="B110" s="86"/>
      <c r="C110" s="89" t="s">
        <v>119</v>
      </c>
      <c r="D110" s="77">
        <v>77</v>
      </c>
      <c r="G110" s="74">
        <v>0.12989999999999999</v>
      </c>
      <c r="H110" s="69">
        <v>0.4829</v>
      </c>
      <c r="I110" s="88">
        <v>-23909.463274599635</v>
      </c>
      <c r="J110" s="14"/>
      <c r="K110" s="75">
        <f t="shared" si="4"/>
        <v>11954.73</v>
      </c>
      <c r="N110" s="23"/>
    </row>
    <row r="111" spans="1:14" x14ac:dyDescent="0.25">
      <c r="A111" s="76"/>
      <c r="B111" s="86"/>
      <c r="C111" s="89" t="s">
        <v>120</v>
      </c>
      <c r="D111" s="77">
        <v>853.1</v>
      </c>
      <c r="G111" s="74">
        <v>0.15690000000000001</v>
      </c>
      <c r="H111" s="69">
        <v>0.4829</v>
      </c>
      <c r="I111" s="88">
        <v>-264898.22233196069</v>
      </c>
      <c r="J111" s="14"/>
      <c r="K111" s="75">
        <f t="shared" si="4"/>
        <v>132449.10999999999</v>
      </c>
      <c r="N111" s="23"/>
    </row>
    <row r="112" spans="1:14" x14ac:dyDescent="0.25">
      <c r="A112" s="76"/>
      <c r="B112" s="86"/>
      <c r="C112" s="89" t="s">
        <v>121</v>
      </c>
      <c r="D112" s="77">
        <v>330.6</v>
      </c>
      <c r="G112" s="74">
        <v>0.24590000000000001</v>
      </c>
      <c r="H112" s="69">
        <v>0.4829</v>
      </c>
      <c r="I112" s="88">
        <v>-83827.465458186809</v>
      </c>
      <c r="J112" s="14"/>
      <c r="K112" s="75">
        <f t="shared" si="4"/>
        <v>41913.730000000003</v>
      </c>
      <c r="N112" s="23"/>
    </row>
    <row r="113" spans="1:14" x14ac:dyDescent="0.25">
      <c r="A113" s="76"/>
      <c r="B113" s="86"/>
      <c r="C113" s="90"/>
      <c r="D113" s="77"/>
      <c r="H113" s="15"/>
      <c r="I113" s="88"/>
      <c r="J113" s="14"/>
      <c r="K113" s="91"/>
      <c r="N113" s="23"/>
    </row>
    <row r="114" spans="1:14" x14ac:dyDescent="0.25">
      <c r="A114" s="76" t="s">
        <v>122</v>
      </c>
      <c r="B114" s="86" t="s">
        <v>123</v>
      </c>
      <c r="C114" s="87" t="s">
        <v>124</v>
      </c>
      <c r="D114" s="77">
        <v>292</v>
      </c>
      <c r="G114" s="74">
        <v>0.13009999999999999</v>
      </c>
      <c r="H114" s="69">
        <v>0.3014</v>
      </c>
      <c r="I114" s="88">
        <v>-53812.160000000003</v>
      </c>
      <c r="J114" s="14"/>
      <c r="K114" s="75">
        <f>ROUND(-I114*0.5,2)</f>
        <v>26906.080000000002</v>
      </c>
      <c r="N114" s="23"/>
    </row>
    <row r="115" spans="1:14" x14ac:dyDescent="0.25">
      <c r="A115" s="76"/>
      <c r="B115" s="86"/>
      <c r="C115" s="87" t="s">
        <v>125</v>
      </c>
      <c r="D115" s="77">
        <v>349</v>
      </c>
      <c r="G115" s="74">
        <v>3.7199999999999997E-2</v>
      </c>
      <c r="H115" s="69">
        <v>0.3014</v>
      </c>
      <c r="I115" s="88">
        <v>-98616.31</v>
      </c>
      <c r="J115" s="14"/>
      <c r="K115" s="75">
        <f>ROUND(-I115*0.5,2)</f>
        <v>49308.160000000003</v>
      </c>
      <c r="N115" s="23"/>
    </row>
    <row r="116" spans="1:14" x14ac:dyDescent="0.25">
      <c r="A116" s="76"/>
      <c r="B116" s="86"/>
      <c r="C116" s="87"/>
      <c r="D116" s="77"/>
      <c r="G116" s="74"/>
      <c r="H116" s="69"/>
      <c r="I116" s="88"/>
      <c r="J116" s="14"/>
      <c r="K116" s="75"/>
      <c r="N116" s="23"/>
    </row>
    <row r="117" spans="1:14" x14ac:dyDescent="0.25">
      <c r="A117" s="76" t="s">
        <v>126</v>
      </c>
      <c r="B117" s="86" t="s">
        <v>127</v>
      </c>
      <c r="C117" s="76" t="s">
        <v>128</v>
      </c>
      <c r="D117" s="77">
        <v>208</v>
      </c>
      <c r="G117" s="74">
        <v>0.1971</v>
      </c>
      <c r="H117" s="69">
        <v>0.27810000000000001</v>
      </c>
      <c r="I117" s="88">
        <v>-7000.2677075832617</v>
      </c>
      <c r="J117" s="14"/>
      <c r="K117" s="75">
        <f>ROUND(-I117*0.5,2)</f>
        <v>3500.13</v>
      </c>
      <c r="N117" s="23"/>
    </row>
    <row r="118" spans="1:14" x14ac:dyDescent="0.25">
      <c r="A118" s="76"/>
      <c r="B118" s="86"/>
      <c r="C118" s="78" t="s">
        <v>129</v>
      </c>
      <c r="D118" s="77">
        <v>242.5</v>
      </c>
      <c r="G118" s="74">
        <v>5.3100000000000001E-2</v>
      </c>
      <c r="H118" s="69">
        <v>0.27810000000000001</v>
      </c>
      <c r="I118" s="88">
        <v>-44497.569803311955</v>
      </c>
      <c r="J118" s="14"/>
      <c r="K118" s="75">
        <f>ROUND(-I118*0.5,2)</f>
        <v>22248.78</v>
      </c>
      <c r="N118" s="23"/>
    </row>
    <row r="119" spans="1:14" x14ac:dyDescent="0.25">
      <c r="A119" s="76"/>
      <c r="B119" s="86"/>
      <c r="C119" s="78"/>
      <c r="D119" s="77"/>
      <c r="G119" s="74"/>
      <c r="H119" s="69"/>
      <c r="I119" s="88"/>
      <c r="J119" s="14"/>
      <c r="K119" s="75"/>
      <c r="N119" s="23"/>
    </row>
    <row r="120" spans="1:14" x14ac:dyDescent="0.25">
      <c r="A120" s="76" t="s">
        <v>130</v>
      </c>
      <c r="B120" s="86" t="s">
        <v>131</v>
      </c>
      <c r="C120" s="78" t="s">
        <v>132</v>
      </c>
      <c r="D120" s="77">
        <v>120</v>
      </c>
      <c r="G120" s="74">
        <v>4.1700000000000001E-2</v>
      </c>
      <c r="H120" s="69">
        <v>0.12230000000000001</v>
      </c>
      <c r="I120" s="88">
        <v>-10574.614106935449</v>
      </c>
      <c r="J120" s="14"/>
      <c r="K120" s="75">
        <f>ROUND(-I120*0.5,2)</f>
        <v>5287.31</v>
      </c>
      <c r="N120" s="23"/>
    </row>
    <row r="121" spans="1:14" ht="13.8" thickBot="1" x14ac:dyDescent="0.3">
      <c r="A121" s="76"/>
      <c r="B121" s="86"/>
      <c r="C121" s="78"/>
      <c r="D121" s="92"/>
      <c r="H121" s="15"/>
      <c r="I121" s="88"/>
      <c r="J121" s="14"/>
      <c r="K121" s="91"/>
      <c r="N121" s="61"/>
    </row>
    <row r="122" spans="1:14" ht="13.8" thickBot="1" x14ac:dyDescent="0.3">
      <c r="A122" s="53" t="s">
        <v>133</v>
      </c>
      <c r="B122" s="54"/>
      <c r="C122" s="55"/>
      <c r="D122" s="56">
        <f>SUM(D88:D120)</f>
        <v>11156.400000000001</v>
      </c>
      <c r="E122" s="57"/>
      <c r="F122" s="57"/>
      <c r="G122" s="58"/>
      <c r="H122" s="58"/>
      <c r="I122" s="93">
        <f>SUM(I88:I121)</f>
        <v>-2173904.1835319879</v>
      </c>
      <c r="J122" s="93">
        <f>SUM(J88:J121)</f>
        <v>0</v>
      </c>
      <c r="K122" s="94">
        <f>SUM(K88:K121)</f>
        <v>1086952.0799999998</v>
      </c>
    </row>
    <row r="125" spans="1:14" x14ac:dyDescent="0.25">
      <c r="J125" s="33">
        <f>K122+J74+K74</f>
        <v>4416354.2185635213</v>
      </c>
      <c r="K125" s="64"/>
      <c r="M125" s="33"/>
      <c r="N125" s="33"/>
    </row>
    <row r="126" spans="1:14" x14ac:dyDescent="0.25">
      <c r="D126" s="63"/>
      <c r="M126" s="33"/>
    </row>
    <row r="127" spans="1:14" x14ac:dyDescent="0.25">
      <c r="A127" s="95"/>
      <c r="B127" s="96"/>
      <c r="C127" s="97"/>
      <c r="D127" s="96"/>
      <c r="E127" s="98"/>
      <c r="F127" s="99"/>
      <c r="J127" s="102"/>
      <c r="K127" s="33"/>
    </row>
    <row r="128" spans="1:14" x14ac:dyDescent="0.25">
      <c r="A128" s="95"/>
      <c r="B128" s="96"/>
      <c r="C128" s="97"/>
      <c r="D128" s="96"/>
      <c r="E128" s="98"/>
      <c r="F128" s="99"/>
      <c r="J128" s="100"/>
      <c r="N128" s="33"/>
    </row>
    <row r="129" spans="1:15" x14ac:dyDescent="0.25">
      <c r="A129" s="95"/>
      <c r="B129" s="96"/>
      <c r="C129" s="97"/>
      <c r="D129" s="96"/>
      <c r="E129" s="98"/>
      <c r="F129" s="99"/>
      <c r="N129" s="101"/>
      <c r="O129" s="2" t="s">
        <v>33</v>
      </c>
    </row>
  </sheetData>
  <mergeCells count="1">
    <mergeCell ref="M3:N3"/>
  </mergeCells>
  <printOptions horizontalCentered="1"/>
  <pageMargins left="0.2" right="0.2" top="0.5" bottom="0.5" header="0.3" footer="0.3"/>
  <pageSetup scale="33" orientation="landscape" r:id="rId1"/>
  <headerFooter alignWithMargins="0"/>
  <rowBreaks count="3" manualBreakCount="3">
    <brk id="64" max="65535" man="1"/>
    <brk id="110" max="65535" man="1"/>
    <brk id="16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FY2019-20 Supplemental Aid</vt:lpstr>
      <vt:lpstr>'FY2019-20 Supplemental Aid'!Print_Area</vt:lpstr>
      <vt:lpstr>'FY2019-20 Supplemental Aid'!Print_Titles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2020-05-01T14:21:23Z</dcterms:created>
  <dcterms:modified xsi:type="dcterms:W3CDTF">2020-05-01T14:24:26Z</dcterms:modified>
</cp:coreProperties>
</file>