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PAYMENTS\PSFA20\"/>
    </mc:Choice>
  </mc:AlternateContent>
  <bookViews>
    <workbookView xWindow="0" yWindow="0" windowWidth="24000" windowHeight="9732"/>
  </bookViews>
  <sheets>
    <sheet name="Calculation Form" sheetId="1" r:id="rId1"/>
    <sheet name="Inputs" sheetId="2" r:id="rId2"/>
    <sheet name="CSI Counts" sheetId="3" r:id="rId3"/>
  </sheets>
  <externalReferences>
    <externalReference r:id="rId4"/>
  </externalReferences>
  <definedNames>
    <definedName name="Inputs">Inputs!$A$2:$I$181</definedName>
    <definedName name="Values">[1]Inputs!$A$2:$I$181</definedName>
  </definedNames>
  <calcPr calcId="152511"/>
</workbook>
</file>

<file path=xl/calcChain.xml><?xml version="1.0" encoding="utf-8"?>
<calcChain xmlns="http://schemas.openxmlformats.org/spreadsheetml/2006/main">
  <c r="N55" i="3" l="1"/>
  <c r="N54" i="3"/>
  <c r="N53" i="3"/>
  <c r="I55" i="3"/>
  <c r="F55" i="3"/>
  <c r="I54" i="3"/>
  <c r="F54" i="3"/>
  <c r="I53" i="3"/>
  <c r="F53" i="3"/>
  <c r="P48" i="3"/>
  <c r="N48" i="3"/>
  <c r="P47" i="3"/>
  <c r="N47" i="3"/>
  <c r="P46" i="3"/>
  <c r="N46" i="3"/>
  <c r="P45" i="3"/>
  <c r="N45" i="3"/>
  <c r="P44" i="3"/>
  <c r="N44" i="3"/>
  <c r="P43" i="3"/>
  <c r="N43" i="3"/>
  <c r="P42" i="3"/>
  <c r="N42" i="3"/>
  <c r="P41" i="3"/>
  <c r="N41" i="3"/>
  <c r="P40" i="3"/>
  <c r="N40" i="3"/>
  <c r="P39" i="3"/>
  <c r="N39" i="3"/>
  <c r="P38" i="3"/>
  <c r="N38" i="3"/>
  <c r="P37" i="3"/>
  <c r="N37" i="3"/>
  <c r="P36" i="3"/>
  <c r="N36" i="3"/>
  <c r="P35" i="3"/>
  <c r="N35" i="3"/>
  <c r="P34" i="3"/>
  <c r="N34" i="3"/>
  <c r="P33" i="3"/>
  <c r="N33" i="3"/>
  <c r="P32" i="3"/>
  <c r="N32" i="3"/>
  <c r="P31" i="3"/>
  <c r="N31" i="3"/>
  <c r="P30" i="3"/>
  <c r="N30" i="3"/>
  <c r="P29" i="3"/>
  <c r="N29" i="3"/>
  <c r="P28" i="3"/>
  <c r="N28" i="3"/>
  <c r="P27" i="3"/>
  <c r="N27" i="3"/>
  <c r="P26" i="3"/>
  <c r="N26" i="3"/>
  <c r="P25" i="3"/>
  <c r="N25" i="3"/>
  <c r="P24" i="3"/>
  <c r="N24" i="3"/>
  <c r="P23" i="3"/>
  <c r="N23" i="3"/>
  <c r="P22" i="3"/>
  <c r="N22" i="3"/>
  <c r="P21" i="3"/>
  <c r="N21" i="3"/>
  <c r="P20" i="3"/>
  <c r="N20" i="3"/>
  <c r="O55" i="3"/>
  <c r="M55" i="3"/>
  <c r="L55" i="3"/>
  <c r="K55" i="3"/>
  <c r="J55" i="3"/>
  <c r="H55" i="3"/>
  <c r="G55" i="3"/>
  <c r="E55" i="3"/>
  <c r="D55" i="3"/>
  <c r="C55" i="3"/>
  <c r="P18" i="3"/>
  <c r="N18" i="3"/>
  <c r="P17" i="3"/>
  <c r="N17" i="3"/>
  <c r="P16" i="3"/>
  <c r="N16" i="3"/>
  <c r="P15" i="3"/>
  <c r="N15" i="3"/>
  <c r="P14" i="3"/>
  <c r="N14" i="3"/>
  <c r="P13" i="3"/>
  <c r="N13" i="3"/>
  <c r="P12" i="3"/>
  <c r="N12" i="3"/>
  <c r="P11" i="3"/>
  <c r="N11" i="3"/>
  <c r="P10" i="3"/>
  <c r="N10" i="3"/>
  <c r="P9" i="3"/>
  <c r="N9" i="3"/>
  <c r="O54" i="3"/>
  <c r="M54" i="3"/>
  <c r="L54" i="3"/>
  <c r="P8" i="3"/>
  <c r="J54" i="3"/>
  <c r="H54" i="3"/>
  <c r="G54" i="3"/>
  <c r="E54" i="3"/>
  <c r="D54" i="3"/>
  <c r="C54" i="3"/>
  <c r="P7" i="3"/>
  <c r="N7" i="3"/>
  <c r="P6" i="3"/>
  <c r="N6" i="3"/>
  <c r="P5" i="3"/>
  <c r="N5" i="3"/>
  <c r="P4" i="3"/>
  <c r="N4" i="3"/>
  <c r="O53" i="3"/>
  <c r="M53" i="3"/>
  <c r="L53" i="3"/>
  <c r="K53" i="3"/>
  <c r="J53" i="3"/>
  <c r="H53" i="3"/>
  <c r="G53" i="3"/>
  <c r="E53" i="3"/>
  <c r="D53" i="3"/>
  <c r="C53" i="3"/>
  <c r="O50" i="3"/>
  <c r="P2" i="3"/>
  <c r="N2" i="3"/>
  <c r="P53" i="3" l="1"/>
  <c r="P55" i="3"/>
  <c r="N3" i="3"/>
  <c r="N8" i="3"/>
  <c r="N19" i="3"/>
  <c r="K54" i="3"/>
  <c r="P54" i="3" s="1"/>
  <c r="P3" i="3"/>
  <c r="P19" i="3"/>
  <c r="P50" i="3" l="1"/>
  <c r="N50" i="3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1" i="1"/>
  <c r="B29" i="1"/>
  <c r="B30" i="1" s="1"/>
  <c r="B33" i="1"/>
  <c r="B24" i="1"/>
  <c r="B26" i="1"/>
  <c r="B25" i="1"/>
  <c r="B20" i="1"/>
  <c r="B17" i="1"/>
  <c r="B15" i="1"/>
  <c r="B13" i="1"/>
  <c r="J13" i="1" s="1"/>
  <c r="B9" i="1"/>
  <c r="B6" i="1"/>
  <c r="J21" i="1"/>
  <c r="G21" i="1"/>
  <c r="K21" i="1"/>
  <c r="I21" i="1"/>
  <c r="M21" i="1"/>
  <c r="N21" i="1"/>
  <c r="F21" i="1"/>
  <c r="H21" i="1"/>
  <c r="C20" i="1"/>
  <c r="C15" i="1"/>
  <c r="E21" i="1"/>
  <c r="N13" i="1" l="1"/>
  <c r="M13" i="1"/>
  <c r="L13" i="1"/>
  <c r="B21" i="1"/>
  <c r="G13" i="1"/>
  <c r="E13" i="1"/>
  <c r="C13" i="1"/>
  <c r="I13" i="1"/>
  <c r="H13" i="1"/>
  <c r="K13" i="1"/>
  <c r="F13" i="1"/>
  <c r="C29" i="1"/>
  <c r="C25" i="1"/>
  <c r="B18" i="1"/>
  <c r="L22" i="1"/>
  <c r="L34" i="1" s="1"/>
  <c r="L35" i="1" s="1"/>
  <c r="L39" i="1" s="1"/>
  <c r="G22" i="1"/>
  <c r="G34" i="1" s="1"/>
  <c r="G35" i="1" s="1"/>
  <c r="G39" i="1" s="1"/>
  <c r="N22" i="1"/>
  <c r="N34" i="1" s="1"/>
  <c r="N35" i="1" s="1"/>
  <c r="N42" i="1" s="1"/>
  <c r="J22" i="1"/>
  <c r="J34" i="1" s="1"/>
  <c r="J35" i="1" s="1"/>
  <c r="J42" i="1" s="1"/>
  <c r="M22" i="1"/>
  <c r="M34" i="1" s="1"/>
  <c r="M35" i="1" s="1"/>
  <c r="M39" i="1" s="1"/>
  <c r="H22" i="1"/>
  <c r="H34" i="1" s="1"/>
  <c r="H35" i="1" s="1"/>
  <c r="H39" i="1" s="1"/>
  <c r="I22" i="1"/>
  <c r="I34" i="1" s="1"/>
  <c r="I35" i="1" s="1"/>
  <c r="I42" i="1" s="1"/>
  <c r="B28" i="1"/>
  <c r="F40" i="1" s="1"/>
  <c r="K22" i="1"/>
  <c r="K34" i="1" s="1"/>
  <c r="K35" i="1" s="1"/>
  <c r="K42" i="1" s="1"/>
  <c r="F22" i="1"/>
  <c r="F34" i="1" s="1"/>
  <c r="F35" i="1" s="1"/>
  <c r="L42" i="1" l="1"/>
  <c r="G42" i="1"/>
  <c r="H42" i="1"/>
  <c r="M42" i="1"/>
  <c r="N39" i="1"/>
  <c r="I39" i="1"/>
  <c r="J39" i="1"/>
  <c r="K39" i="1"/>
  <c r="I40" i="1"/>
  <c r="N40" i="1"/>
  <c r="J40" i="1"/>
  <c r="J41" i="1" s="1"/>
  <c r="J44" i="1" s="1"/>
  <c r="L40" i="1"/>
  <c r="L41" i="1" s="1"/>
  <c r="L44" i="1" s="1"/>
  <c r="H40" i="1"/>
  <c r="H41" i="1" s="1"/>
  <c r="H44" i="1" s="1"/>
  <c r="B31" i="1"/>
  <c r="K40" i="1"/>
  <c r="G40" i="1"/>
  <c r="G41" i="1" s="1"/>
  <c r="G44" i="1" s="1"/>
  <c r="M40" i="1"/>
  <c r="M41" i="1" s="1"/>
  <c r="M44" i="1" s="1"/>
  <c r="F42" i="1"/>
  <c r="F39" i="1"/>
  <c r="F41" i="1" s="1"/>
  <c r="F44" i="1" s="1"/>
  <c r="C9" i="1"/>
  <c r="B10" i="1" s="1"/>
  <c r="B11" i="1" s="1"/>
  <c r="E22" i="1"/>
  <c r="E34" i="1" s="1"/>
  <c r="E35" i="1" s="1"/>
  <c r="E40" i="1"/>
  <c r="I41" i="1" l="1"/>
  <c r="I44" i="1" s="1"/>
  <c r="N41" i="1"/>
  <c r="N44" i="1" s="1"/>
  <c r="K41" i="1"/>
  <c r="K44" i="1" s="1"/>
  <c r="C40" i="1"/>
  <c r="E42" i="1"/>
  <c r="C42" i="1" s="1"/>
  <c r="E39" i="1"/>
  <c r="E41" i="1" l="1"/>
  <c r="C39" i="1"/>
  <c r="E44" i="1" l="1"/>
  <c r="O44" i="1" s="1"/>
  <c r="C41" i="1"/>
  <c r="B42" i="1"/>
  <c r="B36" i="1"/>
  <c r="B22" i="1" s="1"/>
</calcChain>
</file>

<file path=xl/sharedStrings.xml><?xml version="1.0" encoding="utf-8"?>
<sst xmlns="http://schemas.openxmlformats.org/spreadsheetml/2006/main" count="787" uniqueCount="537">
  <si>
    <t>Enter District Number:</t>
  </si>
  <si>
    <t>DISTRICT</t>
  </si>
  <si>
    <t>At-risk Pupil Count</t>
  </si>
  <si>
    <t>Funded Pupil Count</t>
  </si>
  <si>
    <t>K-12 Membership</t>
  </si>
  <si>
    <t>Adjusted District Per-Pupil Revenue</t>
  </si>
  <si>
    <t>District Per-Pupil Revenue</t>
  </si>
  <si>
    <t>Total At-Risk Funding</t>
  </si>
  <si>
    <t>TOTAL PROGRAM</t>
  </si>
  <si>
    <t>Total Program Funding</t>
  </si>
  <si>
    <t>Less: Charter School Count</t>
  </si>
  <si>
    <t>District Adjusted Pupil Count</t>
  </si>
  <si>
    <t>District Per Pupil At-Risk Funding</t>
  </si>
  <si>
    <t xml:space="preserve">Total Formula Per Pupil Funding </t>
  </si>
  <si>
    <t>Charter Total Program (Adjusted)</t>
  </si>
  <si>
    <t>Charter Total Program (Unadjusted)</t>
  </si>
  <si>
    <t>Adjusted Charter Per-Pupil Revenue</t>
  </si>
  <si>
    <t>At-risk Funding to (from) Charter</t>
  </si>
  <si>
    <t>Adjusted At-risk Per Pupil Funding</t>
  </si>
  <si>
    <t>CALCULATION ELEMENTS</t>
  </si>
  <si>
    <t>Percentage of Pupils Eligible for Free Lunch (At-risk Pupil Count divided by K-12 Membership)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</si>
  <si>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</si>
  <si>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</si>
  <si>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</si>
  <si>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</si>
  <si>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</si>
  <si>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</si>
  <si>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</si>
  <si>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</si>
  <si>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</si>
  <si>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</si>
  <si>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</si>
  <si>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</si>
  <si>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</si>
  <si>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</si>
  <si>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</si>
  <si>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</si>
  <si>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</si>
  <si>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</si>
  <si>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</si>
  <si>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</si>
  <si>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</si>
  <si>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</si>
  <si>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</si>
  <si>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</si>
  <si>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</si>
  <si>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</si>
  <si>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</si>
  <si>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</si>
  <si>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</si>
  <si>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</si>
  <si>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</si>
  <si>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</si>
  <si>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</si>
  <si>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</si>
  <si>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</si>
  <si>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</si>
  <si>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</si>
  <si>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</si>
  <si>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</si>
  <si>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</si>
  <si>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</si>
  <si>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</si>
  <si>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</si>
  <si>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</si>
  <si>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</si>
  <si>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</si>
  <si>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</si>
  <si>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</si>
  <si>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</si>
  <si>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</si>
  <si>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</si>
  <si>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</si>
  <si>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</si>
  <si>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</si>
  <si>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</si>
  <si>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</si>
  <si>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</si>
  <si>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</si>
  <si>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</si>
  <si>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</si>
  <si>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</si>
  <si>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</si>
  <si>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</si>
  <si>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</si>
  <si>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</si>
  <si>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</si>
  <si>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</si>
  <si>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</si>
  <si>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</si>
  <si>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</si>
  <si>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</si>
  <si>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</si>
  <si>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</si>
  <si>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</si>
  <si>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</si>
  <si>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</si>
  <si>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</si>
  <si>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</si>
  <si>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</si>
  <si>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</si>
  <si>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</si>
  <si>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</si>
  <si>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</si>
  <si>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</si>
  <si>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</si>
  <si>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</si>
  <si>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</si>
  <si>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</si>
  <si>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</si>
  <si>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</si>
  <si>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</si>
  <si>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</si>
  <si>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</si>
  <si>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</si>
  <si>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</si>
  <si>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</si>
  <si>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</si>
  <si>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</si>
  <si>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</si>
  <si>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</si>
  <si>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</si>
  <si>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</si>
  <si>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</si>
  <si>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</si>
  <si>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</si>
  <si>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</si>
  <si>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</si>
  <si>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</si>
  <si>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</si>
  <si>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</si>
  <si>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</si>
  <si>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</si>
  <si>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</si>
  <si>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</si>
  <si>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</si>
  <si>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</si>
  <si>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</si>
  <si>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</si>
  <si>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</si>
  <si>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</si>
  <si>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</si>
  <si>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</si>
  <si>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</si>
  <si>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</si>
  <si>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</si>
  <si>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</si>
  <si>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</si>
  <si>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</si>
  <si>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</si>
  <si>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</si>
  <si>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</si>
  <si>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</si>
  <si>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</si>
  <si>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</si>
  <si>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</si>
  <si>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</si>
  <si>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</si>
  <si>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</si>
  <si>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</si>
  <si>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</si>
  <si>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</si>
  <si>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</si>
  <si>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</si>
  <si>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</si>
  <si>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</si>
  <si>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</si>
  <si>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</si>
  <si>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</si>
  <si>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</si>
  <si>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</si>
  <si>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</si>
  <si>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</si>
  <si>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</si>
  <si>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</si>
  <si>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</si>
  <si>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</si>
  <si>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</si>
  <si>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</si>
  <si>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</si>
  <si>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</si>
  <si>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</si>
  <si>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</si>
  <si>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</si>
  <si>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</si>
  <si>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</si>
  <si>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</si>
  <si>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</si>
  <si>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</si>
  <si>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</si>
  <si>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</si>
  <si>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</si>
  <si>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</si>
  <si>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</si>
  <si>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</si>
  <si>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</si>
  <si>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</si>
  <si>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</si>
  <si>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</si>
  <si>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</si>
  <si>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</si>
  <si>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</si>
  <si>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</si>
  <si>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</si>
  <si>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</si>
  <si>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</si>
  <si>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</si>
  <si>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</si>
  <si>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</si>
  <si>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</si>
  <si>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</si>
  <si>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</si>
  <si>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</si>
  <si>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</si>
  <si>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</si>
  <si>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</si>
  <si>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</si>
  <si>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</si>
  <si>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</si>
  <si>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</si>
  <si>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</si>
  <si>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</si>
  <si>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</si>
  <si>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</si>
  <si>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</si>
  <si>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</si>
  <si>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</si>
  <si>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</si>
  <si>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</si>
  <si>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</si>
  <si>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</si>
  <si>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</si>
  <si>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District Code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</si>
  <si>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</si>
  <si>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</si>
  <si>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</si>
  <si>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</si>
  <si>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</si>
  <si>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</si>
  <si>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</si>
  <si>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</si>
  <si>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</si>
  <si>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</si>
  <si>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</si>
  <si>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</si>
  <si>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</si>
  <si>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</si>
  <si>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</si>
  <si>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</si>
  <si>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</si>
  <si>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</si>
  <si>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</si>
  <si>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</si>
  <si>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</si>
  <si>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</si>
  <si>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</si>
  <si>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</si>
  <si>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</si>
  <si>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</si>
  <si>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</si>
  <si>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</si>
  <si>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</si>
  <si>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</si>
  <si>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</si>
  <si>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</si>
  <si>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</si>
  <si>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</si>
  <si>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</si>
  <si>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</si>
  <si>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</si>
  <si>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</si>
  <si>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</si>
  <si>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</si>
  <si>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</si>
  <si>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</si>
  <si>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</si>
  <si>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</si>
  <si>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</si>
  <si>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</si>
  <si>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</si>
  <si>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</si>
  <si>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</si>
  <si>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</si>
  <si>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</si>
  <si>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</si>
  <si>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</si>
  <si>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</si>
  <si>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</si>
  <si>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</si>
  <si>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</si>
  <si>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</si>
  <si>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</si>
  <si>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</si>
  <si>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</si>
  <si>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</si>
  <si>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</si>
  <si>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</si>
  <si>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</si>
  <si>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</si>
  <si>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</si>
  <si>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</si>
  <si>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</si>
  <si>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</si>
  <si>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</si>
  <si>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</si>
  <si>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</si>
  <si>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</si>
  <si>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</si>
  <si>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</si>
  <si>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</si>
  <si>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</si>
  <si>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</si>
  <si>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</si>
  <si>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</si>
  <si>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</si>
  <si>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</si>
  <si>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</si>
  <si>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</si>
  <si>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</si>
  <si>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</si>
  <si>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</si>
  <si>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</si>
  <si>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</si>
  <si>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</si>
  <si>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</si>
  <si>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</si>
  <si>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</si>
  <si>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</si>
  <si>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</si>
  <si>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</si>
  <si>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</si>
  <si>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</si>
  <si>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</si>
  <si>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</si>
  <si>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</si>
  <si>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</si>
  <si>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</si>
  <si>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</si>
  <si>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</si>
  <si>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</si>
  <si>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</si>
  <si>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</si>
  <si>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</si>
  <si>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</si>
  <si>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</si>
  <si>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</si>
  <si>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</si>
  <si>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</si>
  <si>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</si>
  <si>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</si>
  <si>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</si>
  <si>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</si>
  <si>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</si>
  <si>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</si>
  <si>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</si>
  <si>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</si>
  <si>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</si>
  <si>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</si>
  <si>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</si>
  <si>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</si>
  <si>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</si>
  <si>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</si>
  <si>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</si>
  <si>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</si>
  <si>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</si>
  <si>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</si>
  <si>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</si>
  <si>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</si>
  <si>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</si>
  <si>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</si>
  <si>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</si>
  <si>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</si>
  <si>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</si>
  <si>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</si>
  <si>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</si>
  <si>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</si>
  <si>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</si>
  <si>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</si>
  <si>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</si>
  <si>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</si>
  <si>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</si>
  <si>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</si>
  <si>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</si>
  <si>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</si>
  <si>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</si>
  <si>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</si>
  <si>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</si>
  <si>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</si>
  <si>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</si>
  <si>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</si>
  <si>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</si>
  <si>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</si>
  <si>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</si>
  <si>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</si>
  <si>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</si>
  <si>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</si>
  <si>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</si>
  <si>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</si>
  <si>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</si>
  <si>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</si>
  <si>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</si>
  <si>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</si>
  <si>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</si>
  <si>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</si>
  <si>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</si>
  <si>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</si>
  <si>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</si>
  <si>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</si>
  <si>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</si>
  <si>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</si>
  <si>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</si>
  <si>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At-Risk Pupil Count</t>
  </si>
  <si>
    <t>Charter School Totals</t>
  </si>
  <si>
    <t>County</t>
  </si>
  <si>
    <t>District</t>
  </si>
  <si>
    <t>District Name</t>
  </si>
  <si>
    <t xml:space="preserve">Instructions: </t>
  </si>
  <si>
    <t>Step 1 - Enter district number</t>
  </si>
  <si>
    <t xml:space="preserve">Step 2 - Enter charter school fields indicated by yellow highlight.  </t>
  </si>
  <si>
    <t>Revised Total Program Funding</t>
  </si>
  <si>
    <t>SBSF</t>
  </si>
  <si>
    <t xml:space="preserve"> </t>
  </si>
  <si>
    <t>Charter Per-Pupil Revenue (greater of floor or adjusted)</t>
  </si>
  <si>
    <t>Charter School</t>
  </si>
  <si>
    <t>Budget Stabilization Factor Total/Per Pupil</t>
  </si>
  <si>
    <t>Rescission</t>
  </si>
  <si>
    <t>Minimum Floor Funding after Rescission</t>
  </si>
  <si>
    <t>Floor Funding (after BS Factor/Rescission)</t>
  </si>
  <si>
    <t>Budget Stabilization Factor Total Program Funding</t>
  </si>
  <si>
    <t>Rescission/Per Pupil</t>
  </si>
  <si>
    <t>District Per-Pupil Revenue after Rescission</t>
  </si>
  <si>
    <t>Revised Total Program Funding after Rescission</t>
  </si>
  <si>
    <t>0015</t>
  </si>
  <si>
    <t>3439</t>
  </si>
  <si>
    <t>0654;6913;6914</t>
  </si>
  <si>
    <t>SCHOOL_CODE</t>
  </si>
  <si>
    <t>CSI_K_12_FTE_CNT</t>
  </si>
  <si>
    <t>CSI_KIND_FTE_CNT</t>
  </si>
  <si>
    <t>CSI_HALF_DAY_KIND</t>
  </si>
  <si>
    <t>CSI_ONLINE_CNT</t>
  </si>
  <si>
    <t>CSI_CPP_CNT</t>
  </si>
  <si>
    <t>CSI_SPECED_CNT</t>
  </si>
  <si>
    <t>CSI_ASCENT_CNT</t>
  </si>
  <si>
    <t>CSI_FL_1_8_CNT</t>
  </si>
  <si>
    <t>CSI_FL_K_12_CNT</t>
  </si>
  <si>
    <t>CSI_MEM_1_8_CNT</t>
  </si>
  <si>
    <t>CSI_MEM_K_12_CNT</t>
  </si>
  <si>
    <t>FPC</t>
  </si>
  <si>
    <t>ELL</t>
  </si>
  <si>
    <t>TOT_AT_RISK</t>
  </si>
  <si>
    <t>0654</t>
  </si>
  <si>
    <t>4699</t>
  </si>
  <si>
    <t>6913</t>
  </si>
  <si>
    <t>6914</t>
  </si>
  <si>
    <t>1882</t>
  </si>
  <si>
    <t>9037</t>
  </si>
  <si>
    <t>9040</t>
  </si>
  <si>
    <t>0655</t>
  </si>
  <si>
    <t>2837</t>
  </si>
  <si>
    <t>7278</t>
  </si>
  <si>
    <t>1633</t>
  </si>
  <si>
    <t>3513</t>
  </si>
  <si>
    <t>5957</t>
  </si>
  <si>
    <t>6219</t>
  </si>
  <si>
    <t>6266</t>
  </si>
  <si>
    <t>8061</t>
  </si>
  <si>
    <t>2196</t>
  </si>
  <si>
    <t>0653</t>
  </si>
  <si>
    <t>0035</t>
  </si>
  <si>
    <t>1371</t>
  </si>
  <si>
    <t>1505</t>
  </si>
  <si>
    <t>1791</t>
  </si>
  <si>
    <t>1795</t>
  </si>
  <si>
    <t>3326</t>
  </si>
  <si>
    <t>4403</t>
  </si>
  <si>
    <t>5147</t>
  </si>
  <si>
    <t>5851</t>
  </si>
  <si>
    <t>8825</t>
  </si>
  <si>
    <t>5431</t>
  </si>
  <si>
    <t>7512</t>
  </si>
  <si>
    <t>8821</t>
  </si>
  <si>
    <t>4277</t>
  </si>
  <si>
    <t>3393</t>
  </si>
  <si>
    <t>0075</t>
  </si>
  <si>
    <t>5453</t>
  </si>
  <si>
    <t>0657</t>
  </si>
  <si>
    <t>2067</t>
  </si>
  <si>
    <t>3399</t>
  </si>
  <si>
    <t>0149</t>
  </si>
  <si>
    <t>0493</t>
  </si>
  <si>
    <t>1387</t>
  </si>
  <si>
    <t>1279</t>
  </si>
  <si>
    <t>5845</t>
  </si>
  <si>
    <t>5423</t>
  </si>
  <si>
    <t>1882;9037;9040</t>
  </si>
  <si>
    <t>6266;3513</t>
  </si>
  <si>
    <t>School Code</t>
  </si>
  <si>
    <t>School Name</t>
  </si>
  <si>
    <t>The Academy of Charter Schools</t>
  </si>
  <si>
    <t>GVA - Northglenn</t>
  </si>
  <si>
    <t>Pinnacle Charter School</t>
  </si>
  <si>
    <t>Colorado Early Colleges Aurora</t>
  </si>
  <si>
    <t>Montessori del Mundo</t>
  </si>
  <si>
    <t>New America School</t>
  </si>
  <si>
    <t>New Legacy High School</t>
  </si>
  <si>
    <t>Coperni 3</t>
  </si>
  <si>
    <t>Colorado Military Academy</t>
  </si>
  <si>
    <t>Colorado Springs Charter Academy</t>
  </si>
  <si>
    <t>Colorado Springs Early Colleges</t>
  </si>
  <si>
    <t>GVA - Colorado Springs</t>
  </si>
  <si>
    <t>James Irwin - Colorado Springs</t>
  </si>
  <si>
    <t>Launch High School</t>
  </si>
  <si>
    <t>Coperni 2</t>
  </si>
  <si>
    <t>Mountain Song Community School</t>
  </si>
  <si>
    <t>Maclaren Charter School</t>
  </si>
  <si>
    <t>Community Leadership Academy</t>
  </si>
  <si>
    <t xml:space="preserve">Academy at High Point </t>
  </si>
  <si>
    <t>Colorado Early Colleges Douglas</t>
  </si>
  <si>
    <t>Animas Charter School</t>
  </si>
  <si>
    <t>Mountain Middle School</t>
  </si>
  <si>
    <t xml:space="preserve">Stone Creek Elementary </t>
  </si>
  <si>
    <t>Indian Peaks Charter</t>
  </si>
  <si>
    <t>Golden View Charter Academy</t>
  </si>
  <si>
    <t>Caprock Academy</t>
  </si>
  <si>
    <t>Monument View Montessori</t>
  </si>
  <si>
    <t>Colorado Early Colleges Fort Collins West</t>
  </si>
  <si>
    <t>Axis International Academy</t>
  </si>
  <si>
    <t xml:space="preserve">Academy of Arts &amp; Knowledge </t>
  </si>
  <si>
    <t>Colorado Early Colleges Windsor</t>
  </si>
  <si>
    <t>Early Colleges Ft. Collins</t>
  </si>
  <si>
    <t xml:space="preserve">Ross Montessori </t>
  </si>
  <si>
    <t>Two Rivers Charter School</t>
  </si>
  <si>
    <t>Salida Montessori</t>
  </si>
  <si>
    <t>Mountain Village Montessori</t>
  </si>
  <si>
    <t>Crown Pointe</t>
  </si>
  <si>
    <t>Early College of Arvada</t>
  </si>
  <si>
    <t>Ricardo Flores Magnon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</si>
</sst>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_(* #,##0.0_);_(* \(#,##0.0\);_(* &quot;-&quot;?_);_(@_)"/>
    <numFmt numFmtId="166" formatCode="_(* #,##0.0_);_(* \(#,##0.0\);_(* &quot;-&quot;??_);_(@_)"/>
    <numFmt numFmtId="167" formatCode="0.0000"/>
    <numFmt numFmtId="168" formatCode="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3" fontId="2" fillId="0" borderId="0" applyFont="0" applyFill="0" applyBorder="0" applyAlignment="0" applyProtection="0"/>
    <xf numFmtId="40" fontId="6" fillId="0" borderId="0"/>
    <xf numFmtId="40" fontId="6" fillId="0" borderId="0"/>
    <xf numFmtId="40" fontId="6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39" fontId="0" fillId="0" borderId="0" xfId="0" applyNumberFormat="1"/>
    <xf numFmtId="49" fontId="0" fillId="2" borderId="0" xfId="0" applyNumberFormat="1" applyFill="1" applyAlignment="1">
      <alignment horizontal="right"/>
    </xf>
    <xf numFmtId="0" fontId="5" fillId="0" borderId="0" xfId="0" applyFont="1"/>
    <xf numFmtId="0" fontId="3" fillId="0" borderId="0" xfId="0" applyFont="1"/>
    <xf numFmtId="40" fontId="7" fillId="0" borderId="0" xfId="0" applyNumberFormat="1" applyFont="1" applyFill="1" applyBorder="1" applyAlignment="1">
      <alignment wrapText="1"/>
    </xf>
    <xf numFmtId="40" fontId="3" fillId="0" borderId="0" xfId="2" applyFont="1" applyAlignment="1">
      <alignment wrapText="1"/>
    </xf>
    <xf numFmtId="0" fontId="4" fillId="0" borderId="0" xfId="0" applyFont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40" fontId="4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/>
    <xf numFmtId="4" fontId="0" fillId="0" borderId="0" xfId="0" applyNumberFormat="1" applyFont="1" applyFill="1" applyBorder="1"/>
    <xf numFmtId="40" fontId="0" fillId="0" borderId="0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Font="1" applyFill="1" applyBorder="1" applyAlignment="1" applyProtection="1">
      <alignment horizontal="left"/>
    </xf>
    <xf numFmtId="164" fontId="0" fillId="0" borderId="0" xfId="0" applyNumberFormat="1" applyFont="1" applyFill="1" applyBorder="1"/>
    <xf numFmtId="0" fontId="3" fillId="0" borderId="0" xfId="0" quotePrefix="1" applyNumberFormat="1" applyFont="1" applyFill="1" applyBorder="1"/>
    <xf numFmtId="49" fontId="0" fillId="0" borderId="0" xfId="0" quotePrefix="1" applyNumberFormat="1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Alignment="1">
      <alignment vertical="top" wrapText="1"/>
    </xf>
    <xf numFmtId="0" fontId="2" fillId="0" borderId="0" xfId="5" applyFont="1" applyFill="1" applyAlignment="1"/>
    <xf numFmtId="168" fontId="2" fillId="0" borderId="0" xfId="5" applyNumberFormat="1" applyFill="1" applyAlignment="1"/>
    <xf numFmtId="1" fontId="2" fillId="0" borderId="0" xfId="5" applyNumberFormat="1" applyFill="1" applyAlignment="1"/>
    <xf numFmtId="1" fontId="2" fillId="0" borderId="0" xfId="5" applyNumberFormat="1" applyFont="1" applyFill="1" applyAlignment="1"/>
    <xf numFmtId="0" fontId="2" fillId="0" borderId="0" xfId="5" applyFill="1" applyAlignment="1"/>
    <xf numFmtId="0" fontId="2" fillId="0" borderId="0" xfId="5"/>
    <xf numFmtId="0" fontId="2" fillId="0" borderId="0" xfId="5" quotePrefix="1" applyFont="1"/>
    <xf numFmtId="168" fontId="2" fillId="0" borderId="0" xfId="5" applyNumberFormat="1"/>
    <xf numFmtId="164" fontId="2" fillId="0" borderId="0" xfId="5" applyNumberFormat="1"/>
    <xf numFmtId="1" fontId="2" fillId="0" borderId="0" xfId="5" applyNumberFormat="1"/>
    <xf numFmtId="40" fontId="2" fillId="0" borderId="0" xfId="5" applyNumberFormat="1" applyFill="1" applyAlignment="1" applyProtection="1">
      <alignment horizontal="left"/>
    </xf>
    <xf numFmtId="0" fontId="2" fillId="0" borderId="0" xfId="5" quotePrefix="1" applyFont="1" applyFill="1"/>
    <xf numFmtId="168" fontId="2" fillId="0" borderId="0" xfId="5" applyNumberFormat="1" applyFill="1"/>
    <xf numFmtId="164" fontId="2" fillId="0" borderId="0" xfId="5" applyNumberFormat="1" applyFill="1"/>
    <xf numFmtId="1" fontId="2" fillId="0" borderId="0" xfId="5" applyNumberFormat="1" applyFill="1"/>
    <xf numFmtId="0" fontId="2" fillId="0" borderId="0" xfId="5" applyFill="1"/>
    <xf numFmtId="0" fontId="1" fillId="0" borderId="0" xfId="6" applyFill="1"/>
    <xf numFmtId="0" fontId="1" fillId="0" borderId="0" xfId="6"/>
    <xf numFmtId="0" fontId="2" fillId="0" borderId="0" xfId="5" quotePrefix="1" applyFont="1" applyFill="1" applyAlignment="1"/>
    <xf numFmtId="164" fontId="2" fillId="0" borderId="0" xfId="5" applyNumberFormat="1" applyFill="1" applyBorder="1"/>
    <xf numFmtId="0" fontId="2" fillId="0" borderId="0" xfId="5" quotePrefix="1"/>
  </cellXfs>
  <cellStyles count="7">
    <cellStyle name="Comma0" xfId="1"/>
    <cellStyle name="Normal" xfId="0" builtinId="0"/>
    <cellStyle name="Normal 2" xfId="2"/>
    <cellStyle name="Normal 2 2" xfId="5"/>
    <cellStyle name="Normal 3" xfId="6"/>
    <cellStyle name="Normal 5" xfId="3"/>
    <cellStyle name="Normal 5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FU\Institute%20Charter\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zoomScale="85" workbookViewId="0">
      <selection activeCell="B5" sqref="B5"/>
    </sheetView>
  </sheetViews>
  <sheetFormatPr defaultRowHeight="13.2" x14ac:dyDescent="0.25"/>
  <cols>
    <col min="1" max="1" width="56.6640625" bestFit="1" customWidth="1"/>
    <col min="2" max="2" width="18.33203125" customWidth="1"/>
    <col min="3" max="3" width="13.88671875" customWidth="1"/>
    <col min="4" max="4" width="6" customWidth="1"/>
    <col min="5" max="6" width="14.33203125" bestFit="1" customWidth="1"/>
    <col min="7" max="7" width="14.44140625" bestFit="1" customWidth="1"/>
    <col min="8" max="8" width="10.109375" customWidth="1"/>
    <col min="9" max="9" width="10.33203125" customWidth="1"/>
    <col min="10" max="10" width="10.44140625" customWidth="1"/>
    <col min="11" max="11" width="10" customWidth="1"/>
    <col min="12" max="12" width="10.5546875" customWidth="1"/>
    <col min="13" max="13" width="10" customWidth="1"/>
    <col min="14" max="14" width="10.5546875" customWidth="1"/>
    <col min="15" max="15" width="10.88671875" bestFit="1" customWidth="1"/>
  </cols>
  <sheetData>
    <row r="1" spans="1:14" x14ac:dyDescent="0.25">
      <c r="A1" s="18" t="s">
        <v>416</v>
      </c>
    </row>
    <row r="2" spans="1:14" x14ac:dyDescent="0.25">
      <c r="A2" t="s">
        <v>417</v>
      </c>
    </row>
    <row r="3" spans="1:14" x14ac:dyDescent="0.25">
      <c r="A3" t="s">
        <v>418</v>
      </c>
    </row>
    <row r="4" spans="1:14" x14ac:dyDescent="0.25">
      <c r="E4" s="31"/>
      <c r="F4" s="31"/>
      <c r="G4" s="32"/>
      <c r="H4" s="33"/>
      <c r="I4" s="33"/>
      <c r="J4" s="33"/>
      <c r="K4" s="33"/>
      <c r="L4" s="33"/>
      <c r="M4" s="33"/>
      <c r="N4" s="33"/>
    </row>
    <row r="5" spans="1:14" ht="15.6" x14ac:dyDescent="0.3">
      <c r="A5" s="14" t="s">
        <v>0</v>
      </c>
      <c r="B5" s="13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7.25" customHeight="1" x14ac:dyDescent="0.25">
      <c r="A6" t="s">
        <v>415</v>
      </c>
      <c r="B6" s="3" t="e">
        <f>VLOOKUP(B5,Inputs,3,3)</f>
        <v>#N/A</v>
      </c>
    </row>
    <row r="7" spans="1:14" ht="26.4" x14ac:dyDescent="0.25">
      <c r="A7" t="s">
        <v>19</v>
      </c>
      <c r="B7" s="3" t="s">
        <v>1</v>
      </c>
      <c r="C7" s="4" t="s">
        <v>412</v>
      </c>
      <c r="D7" s="4"/>
      <c r="E7" s="16" t="s">
        <v>423</v>
      </c>
      <c r="F7" s="17" t="s">
        <v>423</v>
      </c>
      <c r="G7" s="17" t="s">
        <v>423</v>
      </c>
      <c r="H7" s="17" t="s">
        <v>423</v>
      </c>
      <c r="I7" s="17" t="s">
        <v>423</v>
      </c>
      <c r="J7" s="17" t="s">
        <v>423</v>
      </c>
      <c r="K7" s="17" t="s">
        <v>423</v>
      </c>
      <c r="L7" s="17" t="s">
        <v>423</v>
      </c>
      <c r="M7" s="17" t="s">
        <v>423</v>
      </c>
      <c r="N7" s="17" t="s">
        <v>423</v>
      </c>
    </row>
    <row r="9" spans="1:14" x14ac:dyDescent="0.25">
      <c r="A9" t="s">
        <v>3</v>
      </c>
      <c r="B9" s="6" t="e">
        <f>VLOOKUP(B5,Inputs,4,3)</f>
        <v>#N/A</v>
      </c>
      <c r="C9" s="6">
        <f>SUM(E9:N9)</f>
        <v>0</v>
      </c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t="s">
        <v>10</v>
      </c>
      <c r="B10" s="7">
        <f>-C9</f>
        <v>0</v>
      </c>
      <c r="C10" s="7"/>
    </row>
    <row r="11" spans="1:14" x14ac:dyDescent="0.25">
      <c r="A11" t="s">
        <v>11</v>
      </c>
      <c r="B11" s="7" t="e">
        <f>B9+B10</f>
        <v>#N/A</v>
      </c>
      <c r="C11" s="7"/>
    </row>
    <row r="12" spans="1:14" x14ac:dyDescent="0.25">
      <c r="B12" s="7"/>
      <c r="C12" s="7"/>
    </row>
    <row r="13" spans="1:14" x14ac:dyDescent="0.25">
      <c r="A13" s="1" t="s">
        <v>13</v>
      </c>
      <c r="B13" s="8" t="e">
        <f>VLOOKUP(B5,Inputs,6,3)</f>
        <v>#N/A</v>
      </c>
      <c r="C13" s="8" t="e">
        <f>B13</f>
        <v>#N/A</v>
      </c>
      <c r="E13" s="8" t="e">
        <f>$B$13</f>
        <v>#N/A</v>
      </c>
      <c r="F13" s="8" t="e">
        <f t="shared" ref="F13:N13" si="0">$B$13</f>
        <v>#N/A</v>
      </c>
      <c r="G13" s="8" t="e">
        <f t="shared" si="0"/>
        <v>#N/A</v>
      </c>
      <c r="H13" s="8" t="e">
        <f t="shared" si="0"/>
        <v>#N/A</v>
      </c>
      <c r="I13" s="8" t="e">
        <f t="shared" si="0"/>
        <v>#N/A</v>
      </c>
      <c r="J13" s="8" t="e">
        <f t="shared" si="0"/>
        <v>#N/A</v>
      </c>
      <c r="K13" s="8" t="e">
        <f t="shared" si="0"/>
        <v>#N/A</v>
      </c>
      <c r="L13" s="8" t="e">
        <f t="shared" si="0"/>
        <v>#N/A</v>
      </c>
      <c r="M13" s="8" t="e">
        <f t="shared" si="0"/>
        <v>#N/A</v>
      </c>
      <c r="N13" s="8" t="e">
        <f t="shared" si="0"/>
        <v>#N/A</v>
      </c>
    </row>
    <row r="15" spans="1:14" x14ac:dyDescent="0.25">
      <c r="A15" t="s">
        <v>2</v>
      </c>
      <c r="B15" s="6" t="e">
        <f>VLOOKUP(B5,Inputs,5,3)</f>
        <v>#N/A</v>
      </c>
      <c r="C15" s="6">
        <f>SUM(E15:N15)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"/>
      <c r="B16" s="9"/>
      <c r="C16" s="9"/>
    </row>
    <row r="17" spans="1:14" x14ac:dyDescent="0.25">
      <c r="A17" s="1" t="s">
        <v>7</v>
      </c>
      <c r="B17" s="8" t="e">
        <f>VLOOKUP(B5,Inputs,7,3)</f>
        <v>#N/A</v>
      </c>
      <c r="C17" s="8"/>
    </row>
    <row r="18" spans="1:14" x14ac:dyDescent="0.25">
      <c r="A18" t="s">
        <v>12</v>
      </c>
      <c r="B18" t="e">
        <f>ROUND(B17/B9,2)</f>
        <v>#N/A</v>
      </c>
    </row>
    <row r="20" spans="1:14" x14ac:dyDescent="0.25">
      <c r="A20" t="s">
        <v>4</v>
      </c>
      <c r="B20" s="10" t="e">
        <f>VLOOKUP(B5,Inputs,8,3)</f>
        <v>#N/A</v>
      </c>
      <c r="C20" s="6">
        <f>SUM(E20:N20)</f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6.4" x14ac:dyDescent="0.25">
      <c r="A21" s="1" t="s">
        <v>20</v>
      </c>
      <c r="B21" s="11" t="e">
        <f>ROUND(B15/B20,4)</f>
        <v>#N/A</v>
      </c>
      <c r="C21" s="11"/>
      <c r="E21" s="11" t="str">
        <f>IFERROR(E15/E20,"")</f>
        <v/>
      </c>
      <c r="F21" s="11" t="str">
        <f>IFERROR(F15/F20,"")</f>
        <v/>
      </c>
      <c r="G21" s="11" t="str">
        <f t="shared" ref="G21:N21" si="1">IFERROR(G15/G20,"")</f>
        <v/>
      </c>
      <c r="H21" s="11" t="str">
        <f t="shared" si="1"/>
        <v/>
      </c>
      <c r="I21" s="11" t="str">
        <f t="shared" si="1"/>
        <v/>
      </c>
      <c r="J21" s="11" t="str">
        <f t="shared" si="1"/>
        <v/>
      </c>
      <c r="K21" s="11" t="str">
        <f t="shared" si="1"/>
        <v/>
      </c>
      <c r="L21" s="11" t="str">
        <f t="shared" si="1"/>
        <v/>
      </c>
      <c r="M21" s="11" t="str">
        <f t="shared" si="1"/>
        <v/>
      </c>
      <c r="N21" s="11" t="str">
        <f t="shared" si="1"/>
        <v/>
      </c>
    </row>
    <row r="22" spans="1:14" x14ac:dyDescent="0.25">
      <c r="A22" t="s">
        <v>18</v>
      </c>
      <c r="B22" s="8" t="e">
        <f>B36-B13</f>
        <v>#N/A</v>
      </c>
      <c r="C22" s="8"/>
      <c r="E22" s="8">
        <f>IFERROR(IF(E9=0,0,ROUND(IF(E9=0,"",($B$17/$B$9)*(E21/$B$21)),2)),"")</f>
        <v>0</v>
      </c>
      <c r="F22" s="8">
        <f>IFERROR(IF(F9=0,0,ROUND(IF(F9=0,"",($B$17/$B$9)*(F21/$B$21)),2)),"")</f>
        <v>0</v>
      </c>
      <c r="G22" s="8">
        <f t="shared" ref="G22:N22" si="2">IFERROR(IF(G9=0,0,ROUND(IF(G9=0,"",($B$17/$B$9)*(G21/$B$21)),2)),"")</f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</row>
    <row r="23" spans="1:14" x14ac:dyDescent="0.25">
      <c r="E23" s="8"/>
      <c r="F23" s="8"/>
    </row>
    <row r="24" spans="1:14" x14ac:dyDescent="0.25">
      <c r="A24" t="s">
        <v>9</v>
      </c>
      <c r="B24" s="8" t="e">
        <f>VLOOKUP(B5,Inputs!A3:M180,9,FALSE)</f>
        <v>#N/A</v>
      </c>
      <c r="C24" s="8"/>
      <c r="E24" s="8"/>
      <c r="F24" s="8"/>
    </row>
    <row r="25" spans="1:14" x14ac:dyDescent="0.25">
      <c r="A25" t="s">
        <v>424</v>
      </c>
      <c r="B25" s="8" t="e">
        <f>VLOOKUP(B5,Inputs!A4:M181,10,FALSE)</f>
        <v>#N/A</v>
      </c>
      <c r="C25" s="8" t="e">
        <f>ROUND(B25/B9,2)</f>
        <v>#N/A</v>
      </c>
      <c r="E25" s="8"/>
      <c r="F25" s="8"/>
    </row>
    <row r="26" spans="1:14" x14ac:dyDescent="0.25">
      <c r="A26" t="s">
        <v>419</v>
      </c>
      <c r="B26" s="8" t="e">
        <f>VLOOKUP(B5,Inputs!A4:M181,12,FALSE)</f>
        <v>#N/A</v>
      </c>
      <c r="C26" s="8"/>
      <c r="E26" s="8"/>
      <c r="F26" s="8"/>
    </row>
    <row r="27" spans="1:14" x14ac:dyDescent="0.25">
      <c r="C27" s="15" t="s">
        <v>421</v>
      </c>
      <c r="E27" s="8"/>
      <c r="F27" s="8"/>
    </row>
    <row r="28" spans="1:14" x14ac:dyDescent="0.25">
      <c r="A28" t="s">
        <v>6</v>
      </c>
      <c r="B28" s="8" t="e">
        <f>B26/B9</f>
        <v>#N/A</v>
      </c>
      <c r="C28" s="8"/>
      <c r="E28" s="8"/>
      <c r="F28" s="8"/>
    </row>
    <row r="29" spans="1:14" x14ac:dyDescent="0.25">
      <c r="A29" t="s">
        <v>429</v>
      </c>
      <c r="B29" s="8" t="e">
        <f>VLOOKUP(B5,Inputs!A4:M181,11,FALSE)</f>
        <v>#N/A</v>
      </c>
      <c r="C29" s="8" t="e">
        <f>B29/B9</f>
        <v>#N/A</v>
      </c>
      <c r="E29" s="8"/>
      <c r="F29" s="8"/>
    </row>
    <row r="30" spans="1:14" x14ac:dyDescent="0.25">
      <c r="A30" t="s">
        <v>431</v>
      </c>
      <c r="B30" s="8" t="e">
        <f>B26+B29</f>
        <v>#N/A</v>
      </c>
      <c r="C30" s="8"/>
      <c r="E30" s="8"/>
      <c r="F30" s="8"/>
    </row>
    <row r="31" spans="1:14" x14ac:dyDescent="0.25">
      <c r="A31" t="s">
        <v>430</v>
      </c>
      <c r="B31" s="8" t="e">
        <f>B28+C29</f>
        <v>#N/A</v>
      </c>
      <c r="C31" s="8"/>
      <c r="E31" s="8"/>
      <c r="F31" s="8"/>
    </row>
    <row r="32" spans="1:14" x14ac:dyDescent="0.25">
      <c r="B32" s="8"/>
      <c r="C32" s="8"/>
      <c r="E32" s="8"/>
      <c r="F32" s="8"/>
    </row>
    <row r="33" spans="1:15" x14ac:dyDescent="0.25">
      <c r="A33" t="s">
        <v>426</v>
      </c>
      <c r="B33" s="8" t="e">
        <f>VLOOKUP(B5,Inputs!A4:M181,13,FALSE)</f>
        <v>#N/A</v>
      </c>
      <c r="C33" s="8"/>
      <c r="E33" s="8"/>
      <c r="F33" s="8"/>
    </row>
    <row r="34" spans="1:15" x14ac:dyDescent="0.25">
      <c r="A34" t="s">
        <v>16</v>
      </c>
      <c r="B34" s="8"/>
      <c r="C34" s="6"/>
      <c r="E34" s="8">
        <f>IFERROR(IF(E9=0,0,E13+E22+$C$25+$C$29),"")</f>
        <v>0</v>
      </c>
      <c r="F34" s="8">
        <f>IFERROR(IF(F9=0,0,F13+F22+$C$25+$C$29),"")</f>
        <v>0</v>
      </c>
      <c r="G34" s="8">
        <f t="shared" ref="G34:N34" si="3">IFERROR(IF(G9=0,0,G13+G22+$C$25+$C$29),"")</f>
        <v>0</v>
      </c>
      <c r="H34" s="8">
        <f t="shared" si="3"/>
        <v>0</v>
      </c>
      <c r="I34" s="8">
        <f t="shared" si="3"/>
        <v>0</v>
      </c>
      <c r="J34" s="8">
        <f t="shared" si="3"/>
        <v>0</v>
      </c>
      <c r="K34" s="8">
        <f t="shared" si="3"/>
        <v>0</v>
      </c>
      <c r="L34" s="8">
        <f t="shared" si="3"/>
        <v>0</v>
      </c>
      <c r="M34" s="8">
        <f t="shared" si="3"/>
        <v>0</v>
      </c>
      <c r="N34" s="8">
        <f t="shared" si="3"/>
        <v>0</v>
      </c>
    </row>
    <row r="35" spans="1:15" x14ac:dyDescent="0.25">
      <c r="A35" s="1" t="s">
        <v>422</v>
      </c>
      <c r="B35" s="8"/>
      <c r="C35" s="6"/>
      <c r="E35" s="8" t="e">
        <f>IF($B$33&gt;E34,$B$33,E34)</f>
        <v>#N/A</v>
      </c>
      <c r="F35" s="8" t="e">
        <f t="shared" ref="F35:N35" si="4">IF($B$33&gt;F34,$B$33,F34)</f>
        <v>#N/A</v>
      </c>
      <c r="G35" s="8" t="e">
        <f t="shared" si="4"/>
        <v>#N/A</v>
      </c>
      <c r="H35" s="8" t="e">
        <f t="shared" si="4"/>
        <v>#N/A</v>
      </c>
      <c r="I35" s="8" t="e">
        <f t="shared" si="4"/>
        <v>#N/A</v>
      </c>
      <c r="J35" s="8" t="e">
        <f t="shared" si="4"/>
        <v>#N/A</v>
      </c>
      <c r="K35" s="8" t="e">
        <f t="shared" si="4"/>
        <v>#N/A</v>
      </c>
      <c r="L35" s="8" t="e">
        <f t="shared" si="4"/>
        <v>#N/A</v>
      </c>
      <c r="M35" s="8" t="e">
        <f t="shared" si="4"/>
        <v>#N/A</v>
      </c>
      <c r="N35" s="8" t="e">
        <f t="shared" si="4"/>
        <v>#N/A</v>
      </c>
    </row>
    <row r="36" spans="1:15" x14ac:dyDescent="0.25">
      <c r="A36" t="s">
        <v>5</v>
      </c>
      <c r="B36" s="8" t="e">
        <f>(B26-C39)/B11</f>
        <v>#N/A</v>
      </c>
      <c r="C36" s="8"/>
      <c r="E36" s="8"/>
      <c r="F36" s="8"/>
    </row>
    <row r="37" spans="1:15" x14ac:dyDescent="0.25">
      <c r="E37" s="8"/>
      <c r="F37" s="8"/>
    </row>
    <row r="38" spans="1:15" x14ac:dyDescent="0.25">
      <c r="E38" s="8"/>
      <c r="F38" s="8"/>
    </row>
    <row r="39" spans="1:15" x14ac:dyDescent="0.25">
      <c r="A39" t="s">
        <v>14</v>
      </c>
      <c r="C39" s="5">
        <f>SUM(E39:N39)</f>
        <v>0</v>
      </c>
      <c r="E39" s="8" t="str">
        <f>IFERROR(E35*E9,"")</f>
        <v/>
      </c>
      <c r="F39" s="8" t="str">
        <f>IFERROR(F35*F9,"")</f>
        <v/>
      </c>
      <c r="G39" s="8" t="str">
        <f t="shared" ref="G39:N39" si="5">IFERROR(G35*G9,"")</f>
        <v/>
      </c>
      <c r="H39" s="8" t="str">
        <f t="shared" si="5"/>
        <v/>
      </c>
      <c r="I39" s="8" t="str">
        <f t="shared" si="5"/>
        <v/>
      </c>
      <c r="J39" s="8" t="str">
        <f t="shared" si="5"/>
        <v/>
      </c>
      <c r="K39" s="8" t="str">
        <f t="shared" si="5"/>
        <v/>
      </c>
      <c r="L39" s="8" t="str">
        <f t="shared" si="5"/>
        <v/>
      </c>
      <c r="M39" s="8" t="str">
        <f t="shared" si="5"/>
        <v/>
      </c>
      <c r="N39" s="8" t="str">
        <f t="shared" si="5"/>
        <v/>
      </c>
    </row>
    <row r="40" spans="1:15" x14ac:dyDescent="0.25">
      <c r="A40" t="s">
        <v>15</v>
      </c>
      <c r="C40" s="5">
        <f>SUM(E40:N40)</f>
        <v>0</v>
      </c>
      <c r="E40" s="8" t="str">
        <f>IFERROR($B$28*E9,"")</f>
        <v/>
      </c>
      <c r="F40" s="8" t="str">
        <f>IFERROR($B$28*F9,"")</f>
        <v/>
      </c>
      <c r="G40" s="8" t="str">
        <f t="shared" ref="G40:N40" si="6">IFERROR($B$28*G9,"")</f>
        <v/>
      </c>
      <c r="H40" s="8" t="str">
        <f t="shared" si="6"/>
        <v/>
      </c>
      <c r="I40" s="8" t="str">
        <f t="shared" si="6"/>
        <v/>
      </c>
      <c r="J40" s="8" t="str">
        <f t="shared" si="6"/>
        <v/>
      </c>
      <c r="K40" s="8" t="str">
        <f t="shared" si="6"/>
        <v/>
      </c>
      <c r="L40" s="8" t="str">
        <f t="shared" si="6"/>
        <v/>
      </c>
      <c r="M40" s="8" t="str">
        <f t="shared" si="6"/>
        <v/>
      </c>
      <c r="N40" s="8" t="str">
        <f t="shared" si="6"/>
        <v/>
      </c>
    </row>
    <row r="41" spans="1:15" x14ac:dyDescent="0.25">
      <c r="A41" t="s">
        <v>17</v>
      </c>
      <c r="B41" s="8"/>
      <c r="C41" s="12">
        <f>SUM(E41:N41)</f>
        <v>0</v>
      </c>
      <c r="E41" s="8" t="str">
        <f>IFERROR(E39-E40,"")</f>
        <v/>
      </c>
      <c r="F41" s="8" t="str">
        <f>IFERROR(F39-F40,"")</f>
        <v/>
      </c>
      <c r="G41" s="8" t="str">
        <f t="shared" ref="G41:N41" si="7">IFERROR(G39-G40,"")</f>
        <v/>
      </c>
      <c r="H41" s="8" t="str">
        <f t="shared" si="7"/>
        <v/>
      </c>
      <c r="I41" s="8" t="str">
        <f t="shared" si="7"/>
        <v/>
      </c>
      <c r="J41" s="8" t="str">
        <f t="shared" si="7"/>
        <v/>
      </c>
      <c r="K41" s="8" t="str">
        <f t="shared" si="7"/>
        <v/>
      </c>
      <c r="L41" s="8" t="str">
        <f t="shared" si="7"/>
        <v/>
      </c>
      <c r="M41" s="8" t="str">
        <f t="shared" si="7"/>
        <v/>
      </c>
      <c r="N41" s="8" t="str">
        <f t="shared" si="7"/>
        <v/>
      </c>
    </row>
    <row r="42" spans="1:15" x14ac:dyDescent="0.25">
      <c r="A42" t="s">
        <v>8</v>
      </c>
      <c r="B42" s="8" t="e">
        <f>B24-C39+B25+B29</f>
        <v>#N/A</v>
      </c>
      <c r="C42" s="5">
        <f>SUM(E42:N42)</f>
        <v>0</v>
      </c>
      <c r="E42" s="8" t="str">
        <f>IFERROR(E35*E9,"")</f>
        <v/>
      </c>
      <c r="F42" s="8" t="str">
        <f>IFERROR(F35*F9,"")</f>
        <v/>
      </c>
      <c r="G42" s="8" t="str">
        <f t="shared" ref="G42:N42" si="8">IFERROR(G35*G9,"")</f>
        <v/>
      </c>
      <c r="H42" s="8" t="str">
        <f t="shared" si="8"/>
        <v/>
      </c>
      <c r="I42" s="8" t="str">
        <f t="shared" si="8"/>
        <v/>
      </c>
      <c r="J42" s="8" t="str">
        <f t="shared" si="8"/>
        <v/>
      </c>
      <c r="K42" s="8" t="str">
        <f t="shared" si="8"/>
        <v/>
      </c>
      <c r="L42" s="8" t="str">
        <f t="shared" si="8"/>
        <v/>
      </c>
      <c r="M42" s="8" t="str">
        <f t="shared" si="8"/>
        <v/>
      </c>
      <c r="N42" s="8" t="str">
        <f t="shared" si="8"/>
        <v/>
      </c>
    </row>
    <row r="44" spans="1:15" x14ac:dyDescent="0.25">
      <c r="C44" s="5"/>
      <c r="E44" s="5" t="str">
        <f>IFERROR(ROUND(E41/7,2),"")</f>
        <v/>
      </c>
      <c r="F44" s="5" t="str">
        <f>IFERROR(ROUND(F41/7,2),"")</f>
        <v/>
      </c>
      <c r="G44" s="5" t="str">
        <f t="shared" ref="G44:N44" si="9">IFERROR(ROUND(G41/7,2),"")</f>
        <v/>
      </c>
      <c r="H44" s="5" t="str">
        <f t="shared" si="9"/>
        <v/>
      </c>
      <c r="I44" s="5" t="str">
        <f t="shared" si="9"/>
        <v/>
      </c>
      <c r="J44" s="5" t="str">
        <f t="shared" si="9"/>
        <v/>
      </c>
      <c r="K44" s="5" t="str">
        <f t="shared" si="9"/>
        <v/>
      </c>
      <c r="L44" s="5" t="str">
        <f t="shared" si="9"/>
        <v/>
      </c>
      <c r="M44" s="5" t="str">
        <f t="shared" si="9"/>
        <v/>
      </c>
      <c r="N44" s="5" t="str">
        <f t="shared" si="9"/>
        <v/>
      </c>
      <c r="O44" s="5">
        <f>SUM(E44:N44)</f>
        <v>0</v>
      </c>
    </row>
  </sheetData>
  <phoneticPr fontId="0" type="noConversion"/>
  <pageMargins left="0.5" right="0.5" top="0.75" bottom="0.75" header="0.25" footer="0.25"/>
  <pageSetup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3"/>
  <sheetViews>
    <sheetView zoomScale="85"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25"/>
  <cols>
    <col min="1" max="1" width="8.44140625" style="24" customWidth="1"/>
    <col min="2" max="2" width="14.33203125" style="24" bestFit="1" customWidth="1"/>
    <col min="3" max="3" width="21.88671875" style="24" bestFit="1" customWidth="1"/>
    <col min="4" max="5" width="10.88671875" style="24" bestFit="1" customWidth="1"/>
    <col min="6" max="6" width="12.44140625" style="25" bestFit="1" customWidth="1"/>
    <col min="7" max="7" width="14.5546875" style="24" bestFit="1" customWidth="1"/>
    <col min="8" max="8" width="13.109375" style="24" bestFit="1" customWidth="1"/>
    <col min="9" max="9" width="16.109375" style="24" bestFit="1" customWidth="1"/>
    <col min="10" max="10" width="16.6640625" style="26" bestFit="1" customWidth="1"/>
    <col min="11" max="11" width="16.6640625" style="26" customWidth="1"/>
    <col min="12" max="12" width="17.33203125" style="24" bestFit="1" customWidth="1"/>
    <col min="13" max="13" width="22.6640625" style="24" bestFit="1" customWidth="1"/>
    <col min="14" max="16384" width="9.109375" style="24"/>
  </cols>
  <sheetData>
    <row r="2" spans="1:13" ht="52.8" x14ac:dyDescent="0.25">
      <c r="A2" s="19" t="s">
        <v>232</v>
      </c>
      <c r="B2" s="19" t="s">
        <v>413</v>
      </c>
      <c r="C2" s="19" t="s">
        <v>414</v>
      </c>
      <c r="D2" s="20" t="s">
        <v>3</v>
      </c>
      <c r="E2" s="20" t="s">
        <v>411</v>
      </c>
      <c r="F2" s="21" t="s">
        <v>13</v>
      </c>
      <c r="G2" s="20" t="s">
        <v>7</v>
      </c>
      <c r="H2" s="20" t="s">
        <v>4</v>
      </c>
      <c r="I2" s="22" t="s">
        <v>9</v>
      </c>
      <c r="J2" s="23" t="s">
        <v>420</v>
      </c>
      <c r="K2" s="23" t="s">
        <v>425</v>
      </c>
      <c r="L2" s="20" t="s">
        <v>428</v>
      </c>
      <c r="M2" s="20" t="s">
        <v>427</v>
      </c>
    </row>
    <row r="4" spans="1:13" x14ac:dyDescent="0.25">
      <c r="A4" s="27" t="s">
        <v>233</v>
      </c>
      <c r="B4" s="28" t="s">
        <v>21</v>
      </c>
      <c r="C4" s="28" t="s">
        <v>22</v>
      </c>
      <c r="D4" s="29">
        <v>8867.5</v>
      </c>
      <c r="E4" s="29">
        <v>4279.8999999999996</v>
      </c>
      <c r="F4" s="26">
        <v>8584.9358354100004</v>
      </c>
      <c r="G4" s="26">
        <v>4914609.1100000003</v>
      </c>
      <c r="H4" s="29">
        <v>8613</v>
      </c>
      <c r="I4" s="26">
        <v>80579442.730000004</v>
      </c>
      <c r="J4" s="26">
        <v>-5660083.6600000001</v>
      </c>
      <c r="K4" s="26">
        <v>-29424.935983367377</v>
      </c>
      <c r="L4" s="26">
        <f>I4+J4</f>
        <v>74919359.070000008</v>
      </c>
      <c r="M4" s="26">
        <v>8061.35</v>
      </c>
    </row>
    <row r="5" spans="1:13" x14ac:dyDescent="0.25">
      <c r="A5" s="27" t="s">
        <v>234</v>
      </c>
      <c r="B5" s="28" t="s">
        <v>21</v>
      </c>
      <c r="C5" s="28" t="s">
        <v>23</v>
      </c>
      <c r="D5" s="29">
        <v>42597.9</v>
      </c>
      <c r="E5" s="29">
        <v>13543.4</v>
      </c>
      <c r="F5" s="26">
        <v>8609.0582632000005</v>
      </c>
      <c r="G5" s="26">
        <v>13991510.359999999</v>
      </c>
      <c r="H5" s="29">
        <v>42250</v>
      </c>
      <c r="I5" s="26">
        <v>380717610.41000003</v>
      </c>
      <c r="J5" s="26">
        <v>-26742472.41</v>
      </c>
      <c r="K5" s="26">
        <v>-123575.37495096066</v>
      </c>
      <c r="L5" s="26">
        <f t="shared" ref="L5:L68" si="0">I5+J5</f>
        <v>353975138</v>
      </c>
      <c r="M5" s="26">
        <v>8061.35</v>
      </c>
    </row>
    <row r="6" spans="1:13" x14ac:dyDescent="0.25">
      <c r="A6" s="27" t="s">
        <v>235</v>
      </c>
      <c r="B6" s="28" t="s">
        <v>21</v>
      </c>
      <c r="C6" s="28" t="s">
        <v>24</v>
      </c>
      <c r="D6" s="29">
        <v>7645.4</v>
      </c>
      <c r="E6" s="29">
        <v>4727.2</v>
      </c>
      <c r="F6" s="26">
        <v>8513.4890696300008</v>
      </c>
      <c r="G6" s="26">
        <v>6851783.3700000001</v>
      </c>
      <c r="H6" s="29">
        <v>6905</v>
      </c>
      <c r="I6" s="26">
        <v>71940812.700000003</v>
      </c>
      <c r="J6" s="26">
        <v>-5053286.5999999996</v>
      </c>
      <c r="K6" s="26">
        <v>-23634.902333339363</v>
      </c>
      <c r="L6" s="26">
        <f t="shared" si="0"/>
        <v>66887526.100000001</v>
      </c>
      <c r="M6" s="26">
        <v>8061.35</v>
      </c>
    </row>
    <row r="7" spans="1:13" x14ac:dyDescent="0.25">
      <c r="A7" s="27" t="s">
        <v>236</v>
      </c>
      <c r="B7" s="28" t="s">
        <v>21</v>
      </c>
      <c r="C7" s="28" t="s">
        <v>25</v>
      </c>
      <c r="D7" s="29">
        <v>19533.099999999999</v>
      </c>
      <c r="E7" s="29">
        <v>5872.4</v>
      </c>
      <c r="F7" s="26">
        <v>8529.8794361399996</v>
      </c>
      <c r="G7" s="26">
        <v>6010903.6799999997</v>
      </c>
      <c r="H7" s="29">
        <v>19221</v>
      </c>
      <c r="I7" s="26">
        <v>172625669.87</v>
      </c>
      <c r="J7" s="26">
        <v>-12125620.380000001</v>
      </c>
      <c r="K7" s="26">
        <v>-60761.977004912464</v>
      </c>
      <c r="L7" s="26">
        <f t="shared" si="0"/>
        <v>160500049.49000001</v>
      </c>
      <c r="M7" s="26">
        <v>8061.35</v>
      </c>
    </row>
    <row r="8" spans="1:13" x14ac:dyDescent="0.25">
      <c r="A8" s="27" t="s">
        <v>237</v>
      </c>
      <c r="B8" s="28" t="s">
        <v>21</v>
      </c>
      <c r="C8" s="28" t="s">
        <v>26</v>
      </c>
      <c r="D8" s="29">
        <v>1082</v>
      </c>
      <c r="E8" s="29">
        <v>301.7</v>
      </c>
      <c r="F8" s="26">
        <v>9193.4238842800005</v>
      </c>
      <c r="G8" s="26">
        <v>332838.71999999997</v>
      </c>
      <c r="H8" s="29">
        <v>1080</v>
      </c>
      <c r="I8" s="26">
        <v>10279311.939999999</v>
      </c>
      <c r="J8" s="26">
        <v>-722042.29</v>
      </c>
      <c r="K8" s="26">
        <v>-3753.663287005345</v>
      </c>
      <c r="L8" s="26">
        <f t="shared" si="0"/>
        <v>9557269.6499999985</v>
      </c>
      <c r="M8" s="26">
        <v>8061.35</v>
      </c>
    </row>
    <row r="9" spans="1:13" x14ac:dyDescent="0.25">
      <c r="A9" s="27" t="s">
        <v>238</v>
      </c>
      <c r="B9" s="28" t="s">
        <v>21</v>
      </c>
      <c r="C9" s="28" t="s">
        <v>27</v>
      </c>
      <c r="D9" s="29">
        <v>1031</v>
      </c>
      <c r="E9" s="29">
        <v>209.2</v>
      </c>
      <c r="F9" s="26">
        <v>9154.7810101899995</v>
      </c>
      <c r="G9" s="26">
        <v>229821.62</v>
      </c>
      <c r="H9" s="29">
        <v>1013</v>
      </c>
      <c r="I9" s="26">
        <v>9666855.2799999993</v>
      </c>
      <c r="J9" s="26">
        <v>-679021.94</v>
      </c>
      <c r="K9" s="26">
        <v>-3530.0144574324772</v>
      </c>
      <c r="L9" s="26">
        <f t="shared" si="0"/>
        <v>8987833.3399999999</v>
      </c>
      <c r="M9" s="26">
        <v>8061.35</v>
      </c>
    </row>
    <row r="10" spans="1:13" x14ac:dyDescent="0.25">
      <c r="A10" s="27" t="s">
        <v>239</v>
      </c>
      <c r="B10" s="28" t="s">
        <v>21</v>
      </c>
      <c r="C10" s="28" t="s">
        <v>28</v>
      </c>
      <c r="D10" s="29">
        <v>10262.799999999999</v>
      </c>
      <c r="E10" s="29">
        <v>6208.8</v>
      </c>
      <c r="F10" s="26">
        <v>8523.3628016399998</v>
      </c>
      <c r="G10" s="26">
        <v>8642352.0999999996</v>
      </c>
      <c r="H10" s="29">
        <v>9506</v>
      </c>
      <c r="I10" s="26">
        <v>96115001</v>
      </c>
      <c r="J10" s="26">
        <v>-6751336.6699999999</v>
      </c>
      <c r="K10" s="26">
        <v>-31469.224801081928</v>
      </c>
      <c r="L10" s="26">
        <f t="shared" si="0"/>
        <v>89363664.329999998</v>
      </c>
      <c r="M10" s="26">
        <v>8061.35</v>
      </c>
    </row>
    <row r="11" spans="1:13" x14ac:dyDescent="0.25">
      <c r="A11" s="27" t="s">
        <v>240</v>
      </c>
      <c r="B11" s="28" t="s">
        <v>29</v>
      </c>
      <c r="C11" s="28" t="s">
        <v>29</v>
      </c>
      <c r="D11" s="29">
        <v>2431.3000000000002</v>
      </c>
      <c r="E11" s="29">
        <v>1521.1</v>
      </c>
      <c r="F11" s="26">
        <v>8135.7949975000001</v>
      </c>
      <c r="G11" s="26">
        <v>2044987.39</v>
      </c>
      <c r="H11" s="29">
        <v>2298</v>
      </c>
      <c r="I11" s="26">
        <v>21825791.969999999</v>
      </c>
      <c r="J11" s="26">
        <v>-1533093.36</v>
      </c>
      <c r="K11" s="26">
        <v>-7970.0542682314508</v>
      </c>
      <c r="L11" s="26">
        <f t="shared" si="0"/>
        <v>20292698.609999999</v>
      </c>
      <c r="M11" s="26">
        <v>8061.35</v>
      </c>
    </row>
    <row r="12" spans="1:13" x14ac:dyDescent="0.25">
      <c r="A12" s="27" t="s">
        <v>241</v>
      </c>
      <c r="B12" s="28" t="s">
        <v>29</v>
      </c>
      <c r="C12" s="28" t="s">
        <v>30</v>
      </c>
      <c r="D12" s="29">
        <v>290.89999999999998</v>
      </c>
      <c r="E12" s="29">
        <v>131.19999999999999</v>
      </c>
      <c r="F12" s="26">
        <v>11527.045164609999</v>
      </c>
      <c r="G12" s="26">
        <v>181481.8</v>
      </c>
      <c r="H12" s="29">
        <v>270</v>
      </c>
      <c r="I12" s="26">
        <v>3534699.24</v>
      </c>
      <c r="J12" s="26">
        <v>-248285.33</v>
      </c>
      <c r="K12" s="26">
        <v>-1290.75475440527</v>
      </c>
      <c r="L12" s="26">
        <f t="shared" si="0"/>
        <v>3286413.91</v>
      </c>
      <c r="M12" s="26">
        <v>8061.35</v>
      </c>
    </row>
    <row r="13" spans="1:13" x14ac:dyDescent="0.25">
      <c r="A13" s="27" t="s">
        <v>242</v>
      </c>
      <c r="B13" s="28" t="s">
        <v>31</v>
      </c>
      <c r="C13" s="28" t="s">
        <v>32</v>
      </c>
      <c r="D13" s="29">
        <v>2622.8</v>
      </c>
      <c r="E13" s="29">
        <v>1366.2</v>
      </c>
      <c r="F13" s="26">
        <v>8822.7154458099994</v>
      </c>
      <c r="G13" s="26">
        <v>1760912.36</v>
      </c>
      <c r="H13" s="29">
        <v>2404</v>
      </c>
      <c r="I13" s="26">
        <v>24900689.719999999</v>
      </c>
      <c r="J13" s="26">
        <v>-1749081.18</v>
      </c>
      <c r="K13" s="26">
        <v>-9092.9047933389029</v>
      </c>
      <c r="L13" s="26">
        <f t="shared" si="0"/>
        <v>23151608.539999999</v>
      </c>
      <c r="M13" s="26">
        <v>8061.35</v>
      </c>
    </row>
    <row r="14" spans="1:13" x14ac:dyDescent="0.25">
      <c r="A14" s="27" t="s">
        <v>243</v>
      </c>
      <c r="B14" s="28" t="s">
        <v>31</v>
      </c>
      <c r="C14" s="28" t="s">
        <v>33</v>
      </c>
      <c r="D14" s="29">
        <v>1354.5</v>
      </c>
      <c r="E14" s="29">
        <v>1000.4</v>
      </c>
      <c r="F14" s="26">
        <v>9264.2238334899994</v>
      </c>
      <c r="G14" s="26">
        <v>1909919.61</v>
      </c>
      <c r="H14" s="29">
        <v>1197</v>
      </c>
      <c r="I14" s="26">
        <v>14458310.789999999</v>
      </c>
      <c r="J14" s="26">
        <v>-1015584.69</v>
      </c>
      <c r="K14" s="26">
        <v>-5279.6948591733571</v>
      </c>
      <c r="L14" s="26">
        <f t="shared" si="0"/>
        <v>13442726.1</v>
      </c>
      <c r="M14" s="26">
        <v>8061.35</v>
      </c>
    </row>
    <row r="15" spans="1:13" x14ac:dyDescent="0.25">
      <c r="A15" s="27" t="s">
        <v>244</v>
      </c>
      <c r="B15" s="28" t="s">
        <v>31</v>
      </c>
      <c r="C15" s="28" t="s">
        <v>34</v>
      </c>
      <c r="D15" s="29">
        <v>54539.6</v>
      </c>
      <c r="E15" s="29">
        <v>12397.1</v>
      </c>
      <c r="F15" s="26">
        <v>8861.6995358099994</v>
      </c>
      <c r="G15" s="26">
        <v>13183125.039999999</v>
      </c>
      <c r="H15" s="29">
        <v>54467</v>
      </c>
      <c r="I15" s="26">
        <v>496488038.44999999</v>
      </c>
      <c r="J15" s="26">
        <v>-34874451.060000002</v>
      </c>
      <c r="K15" s="26">
        <v>-181300.94045935772</v>
      </c>
      <c r="L15" s="26">
        <f t="shared" si="0"/>
        <v>461613587.38999999</v>
      </c>
      <c r="M15" s="26">
        <v>8061.35</v>
      </c>
    </row>
    <row r="16" spans="1:13" x14ac:dyDescent="0.25">
      <c r="A16" s="27" t="s">
        <v>245</v>
      </c>
      <c r="B16" s="28" t="s">
        <v>31</v>
      </c>
      <c r="C16" s="28" t="s">
        <v>35</v>
      </c>
      <c r="D16" s="29">
        <v>14792.1</v>
      </c>
      <c r="E16" s="29">
        <v>2129.1</v>
      </c>
      <c r="F16" s="26">
        <v>8650.89099093</v>
      </c>
      <c r="G16" s="26">
        <v>2210233.44</v>
      </c>
      <c r="H16" s="29">
        <v>14390</v>
      </c>
      <c r="I16" s="26">
        <v>130175078.06999999</v>
      </c>
      <c r="J16" s="26">
        <v>-9143794.0800000001</v>
      </c>
      <c r="K16" s="26">
        <v>-47535.614660865074</v>
      </c>
      <c r="L16" s="26">
        <f t="shared" si="0"/>
        <v>121031283.98999999</v>
      </c>
      <c r="M16" s="26">
        <v>8061.35</v>
      </c>
    </row>
    <row r="17" spans="1:13" x14ac:dyDescent="0.25">
      <c r="A17" s="27" t="s">
        <v>246</v>
      </c>
      <c r="B17" s="28" t="s">
        <v>31</v>
      </c>
      <c r="C17" s="28" t="s">
        <v>36</v>
      </c>
      <c r="D17" s="29">
        <v>223.5</v>
      </c>
      <c r="E17" s="29">
        <v>84.1</v>
      </c>
      <c r="F17" s="26">
        <v>14219.20308166</v>
      </c>
      <c r="G17" s="26">
        <v>143500.20000000001</v>
      </c>
      <c r="H17" s="29">
        <v>216</v>
      </c>
      <c r="I17" s="26">
        <v>3321492.09</v>
      </c>
      <c r="J17" s="26">
        <v>-233309.17</v>
      </c>
      <c r="K17" s="26">
        <v>-1212.8985866126488</v>
      </c>
      <c r="L17" s="26">
        <f t="shared" si="0"/>
        <v>3088182.92</v>
      </c>
      <c r="M17" s="26">
        <v>8061.35</v>
      </c>
    </row>
    <row r="18" spans="1:13" x14ac:dyDescent="0.25">
      <c r="A18" s="27" t="s">
        <v>247</v>
      </c>
      <c r="B18" s="28" t="s">
        <v>31</v>
      </c>
      <c r="C18" s="28" t="s">
        <v>37</v>
      </c>
      <c r="D18" s="29">
        <v>40607.699999999997</v>
      </c>
      <c r="E18" s="29">
        <v>26590</v>
      </c>
      <c r="F18" s="26">
        <v>8732.1399088300004</v>
      </c>
      <c r="G18" s="26">
        <v>39253413.890000001</v>
      </c>
      <c r="H18" s="29">
        <v>39148</v>
      </c>
      <c r="I18" s="26">
        <v>393797562.5</v>
      </c>
      <c r="J18" s="26">
        <v>-27661238.050000001</v>
      </c>
      <c r="K18" s="26">
        <v>-140180.97445608536</v>
      </c>
      <c r="L18" s="26">
        <f t="shared" si="0"/>
        <v>366136324.44999999</v>
      </c>
      <c r="M18" s="26">
        <v>8061.35</v>
      </c>
    </row>
    <row r="19" spans="1:13" x14ac:dyDescent="0.25">
      <c r="A19" s="27" t="s">
        <v>248</v>
      </c>
      <c r="B19" s="28" t="s">
        <v>31</v>
      </c>
      <c r="C19" s="28" t="s">
        <v>38</v>
      </c>
      <c r="D19" s="29">
        <v>2144.1</v>
      </c>
      <c r="E19" s="29">
        <v>685.5</v>
      </c>
      <c r="F19" s="26">
        <v>8745.4361513599997</v>
      </c>
      <c r="G19" s="26">
        <v>719399.58</v>
      </c>
      <c r="H19" s="29">
        <v>2291</v>
      </c>
      <c r="I19" s="26">
        <v>18879905.489999998</v>
      </c>
      <c r="J19" s="26">
        <v>-1326167.58</v>
      </c>
      <c r="K19" s="26">
        <v>-6894.3143759139339</v>
      </c>
      <c r="L19" s="26">
        <f t="shared" si="0"/>
        <v>17553737.909999996</v>
      </c>
      <c r="M19" s="26">
        <v>8061.35</v>
      </c>
    </row>
    <row r="20" spans="1:13" x14ac:dyDescent="0.25">
      <c r="A20" s="27" t="s">
        <v>249</v>
      </c>
      <c r="B20" s="28" t="s">
        <v>39</v>
      </c>
      <c r="C20" s="28" t="s">
        <v>39</v>
      </c>
      <c r="D20" s="29">
        <v>1716.3</v>
      </c>
      <c r="E20" s="29">
        <v>800.6</v>
      </c>
      <c r="F20" s="26">
        <v>8731.3674994499997</v>
      </c>
      <c r="G20" s="26">
        <v>897762.61</v>
      </c>
      <c r="H20" s="29">
        <v>1742</v>
      </c>
      <c r="I20" s="26">
        <v>15882360.550000001</v>
      </c>
      <c r="J20" s="26">
        <v>-1115613.19</v>
      </c>
      <c r="K20" s="26">
        <v>-5799.7105306864614</v>
      </c>
      <c r="L20" s="26">
        <f t="shared" si="0"/>
        <v>14766747.360000001</v>
      </c>
      <c r="M20" s="26">
        <v>8061.35</v>
      </c>
    </row>
    <row r="21" spans="1:13" x14ac:dyDescent="0.25">
      <c r="A21" s="27" t="s">
        <v>250</v>
      </c>
      <c r="B21" s="28" t="s">
        <v>40</v>
      </c>
      <c r="C21" s="28" t="s">
        <v>41</v>
      </c>
      <c r="D21" s="29">
        <v>148</v>
      </c>
      <c r="E21" s="29">
        <v>55.1</v>
      </c>
      <c r="F21" s="26">
        <v>15034.292881949999</v>
      </c>
      <c r="G21" s="26">
        <v>99406.74</v>
      </c>
      <c r="H21" s="29">
        <v>137</v>
      </c>
      <c r="I21" s="26">
        <v>2324482.09</v>
      </c>
      <c r="J21" s="26">
        <v>-163276.92000000001</v>
      </c>
      <c r="K21" s="26">
        <v>-848.82364936884949</v>
      </c>
      <c r="L21" s="26">
        <f t="shared" si="0"/>
        <v>2161205.17</v>
      </c>
      <c r="M21" s="26">
        <v>8061.35</v>
      </c>
    </row>
    <row r="22" spans="1:13" x14ac:dyDescent="0.25">
      <c r="A22" s="27" t="s">
        <v>251</v>
      </c>
      <c r="B22" s="28" t="s">
        <v>40</v>
      </c>
      <c r="C22" s="28" t="s">
        <v>42</v>
      </c>
      <c r="D22" s="29">
        <v>54.5</v>
      </c>
      <c r="E22" s="29">
        <v>31.2</v>
      </c>
      <c r="F22" s="26">
        <v>17502.151608169999</v>
      </c>
      <c r="G22" s="26">
        <v>65528.06</v>
      </c>
      <c r="H22" s="29">
        <v>52</v>
      </c>
      <c r="I22" s="26">
        <v>1019395.32</v>
      </c>
      <c r="J22" s="26">
        <v>-71604.649999999994</v>
      </c>
      <c r="K22" s="26">
        <v>-372.24931094679312</v>
      </c>
      <c r="L22" s="26">
        <f t="shared" si="0"/>
        <v>947790.66999999993</v>
      </c>
      <c r="M22" s="26">
        <v>8061.35</v>
      </c>
    </row>
    <row r="23" spans="1:13" x14ac:dyDescent="0.25">
      <c r="A23" s="27" t="s">
        <v>252</v>
      </c>
      <c r="B23" s="28" t="s">
        <v>40</v>
      </c>
      <c r="C23" s="28" t="s">
        <v>43</v>
      </c>
      <c r="D23" s="29">
        <v>293</v>
      </c>
      <c r="E23" s="29">
        <v>121.8</v>
      </c>
      <c r="F23" s="26">
        <v>11242.856077050001</v>
      </c>
      <c r="G23" s="26">
        <v>164325.57999999999</v>
      </c>
      <c r="H23" s="29">
        <v>273</v>
      </c>
      <c r="I23" s="26">
        <v>3458482.41</v>
      </c>
      <c r="J23" s="26">
        <v>-242931.68</v>
      </c>
      <c r="K23" s="26">
        <v>-1262.9229021182048</v>
      </c>
      <c r="L23" s="26">
        <f t="shared" si="0"/>
        <v>3215550.73</v>
      </c>
      <c r="M23" s="26">
        <v>8061.35</v>
      </c>
    </row>
    <row r="24" spans="1:13" x14ac:dyDescent="0.25">
      <c r="A24" s="27" t="s">
        <v>253</v>
      </c>
      <c r="B24" s="28" t="s">
        <v>40</v>
      </c>
      <c r="C24" s="28" t="s">
        <v>44</v>
      </c>
      <c r="D24" s="29">
        <v>81.7</v>
      </c>
      <c r="E24" s="29">
        <v>38</v>
      </c>
      <c r="F24" s="26">
        <v>16751.469369499999</v>
      </c>
      <c r="G24" s="26">
        <v>76386.7</v>
      </c>
      <c r="H24" s="29">
        <v>96</v>
      </c>
      <c r="I24" s="26">
        <v>1444981.75</v>
      </c>
      <c r="J24" s="26">
        <v>-101498.81</v>
      </c>
      <c r="K24" s="26">
        <v>-527.65933925449144</v>
      </c>
      <c r="L24" s="26">
        <f t="shared" si="0"/>
        <v>1343482.94</v>
      </c>
      <c r="M24" s="26">
        <v>8061.35</v>
      </c>
    </row>
    <row r="25" spans="1:13" x14ac:dyDescent="0.25">
      <c r="A25" s="27" t="s">
        <v>254</v>
      </c>
      <c r="B25" s="28" t="s">
        <v>40</v>
      </c>
      <c r="C25" s="28" t="s">
        <v>45</v>
      </c>
      <c r="D25" s="29">
        <v>50</v>
      </c>
      <c r="E25" s="29">
        <v>19</v>
      </c>
      <c r="F25" s="26">
        <v>17626.124326149999</v>
      </c>
      <c r="G25" s="26">
        <v>40187.56</v>
      </c>
      <c r="H25" s="29">
        <v>39</v>
      </c>
      <c r="I25" s="26">
        <v>921493.78</v>
      </c>
      <c r="J25" s="26">
        <v>-64727.82</v>
      </c>
      <c r="K25" s="26">
        <v>-336.4989214893493</v>
      </c>
      <c r="L25" s="26">
        <f t="shared" si="0"/>
        <v>856765.96000000008</v>
      </c>
      <c r="M25" s="26">
        <v>8061.35</v>
      </c>
    </row>
    <row r="26" spans="1:13" x14ac:dyDescent="0.25">
      <c r="A26" s="27" t="s">
        <v>255</v>
      </c>
      <c r="B26" s="28" t="s">
        <v>46</v>
      </c>
      <c r="C26" s="28" t="s">
        <v>47</v>
      </c>
      <c r="D26" s="29">
        <v>2355.8000000000002</v>
      </c>
      <c r="E26" s="29">
        <v>1572</v>
      </c>
      <c r="F26" s="26">
        <v>7770.5748048799996</v>
      </c>
      <c r="G26" s="26">
        <v>2017672.72</v>
      </c>
      <c r="H26" s="29">
        <v>2376</v>
      </c>
      <c r="I26" s="26">
        <v>21456563.73</v>
      </c>
      <c r="J26" s="26">
        <v>-1507157.92</v>
      </c>
      <c r="K26" s="26">
        <v>-7835.2243819518208</v>
      </c>
      <c r="L26" s="26">
        <f t="shared" si="0"/>
        <v>19949405.810000002</v>
      </c>
      <c r="M26" s="26">
        <v>8061.35</v>
      </c>
    </row>
    <row r="27" spans="1:13" x14ac:dyDescent="0.25">
      <c r="A27" s="27" t="s">
        <v>256</v>
      </c>
      <c r="B27" s="28" t="s">
        <v>46</v>
      </c>
      <c r="C27" s="28" t="s">
        <v>48</v>
      </c>
      <c r="D27" s="29">
        <v>243.2</v>
      </c>
      <c r="E27" s="29">
        <v>80.400000000000006</v>
      </c>
      <c r="F27" s="26">
        <v>12101.89078951</v>
      </c>
      <c r="G27" s="26">
        <v>116759.03999999999</v>
      </c>
      <c r="H27" s="29">
        <v>213</v>
      </c>
      <c r="I27" s="26">
        <v>3056218.99</v>
      </c>
      <c r="J27" s="26">
        <v>-214675.79</v>
      </c>
      <c r="K27" s="26">
        <v>-1116.0296589810762</v>
      </c>
      <c r="L27" s="26">
        <f t="shared" si="0"/>
        <v>2841543.2</v>
      </c>
      <c r="M27" s="26">
        <v>8061.35</v>
      </c>
    </row>
    <row r="28" spans="1:13" x14ac:dyDescent="0.25">
      <c r="A28" s="27" t="s">
        <v>257</v>
      </c>
      <c r="B28" s="28" t="s">
        <v>49</v>
      </c>
      <c r="C28" s="28" t="s">
        <v>50</v>
      </c>
      <c r="D28" s="29">
        <v>31300.799999999999</v>
      </c>
      <c r="E28" s="29">
        <v>7169.5</v>
      </c>
      <c r="F28" s="26">
        <v>8680.3160580399999</v>
      </c>
      <c r="G28" s="26">
        <v>7468023.1200000001</v>
      </c>
      <c r="H28" s="29">
        <v>31295</v>
      </c>
      <c r="I28" s="26">
        <v>279168859.99000001</v>
      </c>
      <c r="J28" s="26">
        <v>-19609456.809999999</v>
      </c>
      <c r="K28" s="26">
        <v>-101943.19488660494</v>
      </c>
      <c r="L28" s="26">
        <f t="shared" si="0"/>
        <v>259559403.18000001</v>
      </c>
      <c r="M28" s="26">
        <v>8061.35</v>
      </c>
    </row>
    <row r="29" spans="1:13" x14ac:dyDescent="0.25">
      <c r="A29" s="27" t="s">
        <v>258</v>
      </c>
      <c r="B29" s="28" t="s">
        <v>49</v>
      </c>
      <c r="C29" s="28" t="s">
        <v>49</v>
      </c>
      <c r="D29" s="29">
        <v>30302.400000000001</v>
      </c>
      <c r="E29" s="29">
        <v>5331.5</v>
      </c>
      <c r="F29" s="26">
        <v>8874.6554985099992</v>
      </c>
      <c r="G29" s="26">
        <v>5677827.0899999999</v>
      </c>
      <c r="H29" s="29">
        <v>30112</v>
      </c>
      <c r="I29" s="26">
        <v>274566209.32999998</v>
      </c>
      <c r="J29" s="26">
        <v>-19286156.140000001</v>
      </c>
      <c r="K29" s="26">
        <v>-100262.45974592491</v>
      </c>
      <c r="L29" s="26">
        <f t="shared" si="0"/>
        <v>255280053.19</v>
      </c>
      <c r="M29" s="26">
        <v>8061.35</v>
      </c>
    </row>
    <row r="30" spans="1:13" x14ac:dyDescent="0.25">
      <c r="A30" s="27" t="s">
        <v>259</v>
      </c>
      <c r="B30" s="28" t="s">
        <v>51</v>
      </c>
      <c r="C30" s="28" t="s">
        <v>52</v>
      </c>
      <c r="D30" s="29">
        <v>1035.5</v>
      </c>
      <c r="E30" s="29">
        <v>218.9</v>
      </c>
      <c r="F30" s="26">
        <v>8948.8472700099992</v>
      </c>
      <c r="G30" s="26">
        <v>235068.32</v>
      </c>
      <c r="H30" s="29">
        <v>978</v>
      </c>
      <c r="I30" s="26">
        <v>9501599.6699999999</v>
      </c>
      <c r="J30" s="26">
        <v>-667414.01</v>
      </c>
      <c r="K30" s="26">
        <v>-3469.6685975090268</v>
      </c>
      <c r="L30" s="26">
        <f t="shared" si="0"/>
        <v>8834185.6600000001</v>
      </c>
      <c r="M30" s="26">
        <v>8061.35</v>
      </c>
    </row>
    <row r="31" spans="1:13" x14ac:dyDescent="0.25">
      <c r="A31" s="27" t="s">
        <v>260</v>
      </c>
      <c r="B31" s="28" t="s">
        <v>51</v>
      </c>
      <c r="C31" s="28" t="s">
        <v>53</v>
      </c>
      <c r="D31" s="29">
        <v>1379</v>
      </c>
      <c r="E31" s="29">
        <v>412.1</v>
      </c>
      <c r="F31" s="26">
        <v>8684.7401194800004</v>
      </c>
      <c r="G31" s="26">
        <v>429477.77</v>
      </c>
      <c r="H31" s="29">
        <v>1331</v>
      </c>
      <c r="I31" s="26">
        <v>12405734.390000001</v>
      </c>
      <c r="J31" s="26">
        <v>-871407.05</v>
      </c>
      <c r="K31" s="26">
        <v>-4247.6429342351348</v>
      </c>
      <c r="L31" s="26">
        <f t="shared" si="0"/>
        <v>11534327.34</v>
      </c>
      <c r="M31" s="26">
        <v>8061.35</v>
      </c>
    </row>
    <row r="32" spans="1:13" x14ac:dyDescent="0.25">
      <c r="A32" s="27" t="s">
        <v>261</v>
      </c>
      <c r="B32" s="28" t="s">
        <v>54</v>
      </c>
      <c r="C32" s="28" t="s">
        <v>55</v>
      </c>
      <c r="D32" s="29">
        <v>108.7</v>
      </c>
      <c r="E32" s="29">
        <v>35.1</v>
      </c>
      <c r="F32" s="26">
        <v>15920.885131589999</v>
      </c>
      <c r="G32" s="26">
        <v>67058.77</v>
      </c>
      <c r="H32" s="29">
        <v>102</v>
      </c>
      <c r="I32" s="26">
        <v>1790120.1</v>
      </c>
      <c r="J32" s="26">
        <v>-125742.11</v>
      </c>
      <c r="K32" s="26">
        <v>-653.69240228172805</v>
      </c>
      <c r="L32" s="26">
        <f t="shared" si="0"/>
        <v>1664377.99</v>
      </c>
      <c r="M32" s="26">
        <v>8061.35</v>
      </c>
    </row>
    <row r="33" spans="1:13" x14ac:dyDescent="0.25">
      <c r="A33" s="27" t="s">
        <v>262</v>
      </c>
      <c r="B33" s="28" t="s">
        <v>54</v>
      </c>
      <c r="C33" s="28" t="s">
        <v>54</v>
      </c>
      <c r="D33" s="29">
        <v>185.5</v>
      </c>
      <c r="E33" s="29">
        <v>39</v>
      </c>
      <c r="F33" s="26">
        <v>14382.3931775</v>
      </c>
      <c r="G33" s="26">
        <v>67309.600000000006</v>
      </c>
      <c r="H33" s="29">
        <v>181</v>
      </c>
      <c r="I33" s="26">
        <v>2735243.53</v>
      </c>
      <c r="J33" s="26">
        <v>-192129.74</v>
      </c>
      <c r="K33" s="26">
        <v>-998.82008332788041</v>
      </c>
      <c r="L33" s="26">
        <f t="shared" si="0"/>
        <v>2543113.79</v>
      </c>
      <c r="M33" s="26">
        <v>8061.35</v>
      </c>
    </row>
    <row r="34" spans="1:13" x14ac:dyDescent="0.25">
      <c r="A34" s="27" t="s">
        <v>263</v>
      </c>
      <c r="B34" s="28" t="s">
        <v>56</v>
      </c>
      <c r="C34" s="28" t="s">
        <v>56</v>
      </c>
      <c r="D34" s="29">
        <v>752.5</v>
      </c>
      <c r="E34" s="29">
        <v>103.5</v>
      </c>
      <c r="F34" s="26">
        <v>9650.7753590499997</v>
      </c>
      <c r="G34" s="26">
        <v>119862.63</v>
      </c>
      <c r="H34" s="29">
        <v>658</v>
      </c>
      <c r="I34" s="26">
        <v>7382071.0899999999</v>
      </c>
      <c r="J34" s="26">
        <v>-518533.49</v>
      </c>
      <c r="K34" s="26">
        <v>-2695.6871629232287</v>
      </c>
      <c r="L34" s="26">
        <f t="shared" si="0"/>
        <v>6863537.5999999996</v>
      </c>
      <c r="M34" s="26">
        <v>8061.35</v>
      </c>
    </row>
    <row r="35" spans="1:13" x14ac:dyDescent="0.25">
      <c r="A35" s="27" t="s">
        <v>264</v>
      </c>
      <c r="B35" s="28" t="s">
        <v>57</v>
      </c>
      <c r="C35" s="28" t="s">
        <v>58</v>
      </c>
      <c r="D35" s="29">
        <v>1105.5</v>
      </c>
      <c r="E35" s="29">
        <v>522.70000000000005</v>
      </c>
      <c r="F35" s="26">
        <v>8489.0528301699997</v>
      </c>
      <c r="G35" s="26">
        <v>588759.96</v>
      </c>
      <c r="H35" s="29">
        <v>1067</v>
      </c>
      <c r="I35" s="26">
        <v>9973407.8599999994</v>
      </c>
      <c r="J35" s="26">
        <v>-700554.89</v>
      </c>
      <c r="K35" s="26">
        <v>-3641.9572779645782</v>
      </c>
      <c r="L35" s="26">
        <f t="shared" si="0"/>
        <v>9272852.9699999988</v>
      </c>
      <c r="M35" s="26">
        <v>8061.35</v>
      </c>
    </row>
    <row r="36" spans="1:13" x14ac:dyDescent="0.25">
      <c r="A36" s="27" t="s">
        <v>265</v>
      </c>
      <c r="B36" s="28" t="s">
        <v>57</v>
      </c>
      <c r="C36" s="28" t="s">
        <v>59</v>
      </c>
      <c r="D36" s="29">
        <v>361.1</v>
      </c>
      <c r="E36" s="29">
        <v>131.80000000000001</v>
      </c>
      <c r="F36" s="26">
        <v>10558.347895430001</v>
      </c>
      <c r="G36" s="26">
        <v>166990.82999999999</v>
      </c>
      <c r="H36" s="29">
        <v>322</v>
      </c>
      <c r="I36" s="26">
        <v>3979610.26</v>
      </c>
      <c r="J36" s="26">
        <v>-279536.89</v>
      </c>
      <c r="K36" s="26">
        <v>-1453.2214823712904</v>
      </c>
      <c r="L36" s="26">
        <f t="shared" si="0"/>
        <v>3700073.3699999996</v>
      </c>
      <c r="M36" s="26">
        <v>8061.35</v>
      </c>
    </row>
    <row r="37" spans="1:13" x14ac:dyDescent="0.25">
      <c r="A37" s="27" t="s">
        <v>266</v>
      </c>
      <c r="B37" s="28" t="s">
        <v>57</v>
      </c>
      <c r="C37" s="28" t="s">
        <v>60</v>
      </c>
      <c r="D37" s="29">
        <v>182.6</v>
      </c>
      <c r="E37" s="29">
        <v>98.5</v>
      </c>
      <c r="F37" s="26">
        <v>14401.2871844</v>
      </c>
      <c r="G37" s="26">
        <v>170223.21</v>
      </c>
      <c r="H37" s="29">
        <v>147</v>
      </c>
      <c r="I37" s="26">
        <v>2799898.25</v>
      </c>
      <c r="J37" s="26">
        <v>-196671.23</v>
      </c>
      <c r="K37" s="26">
        <v>-1022.4298414259276</v>
      </c>
      <c r="L37" s="26">
        <f t="shared" si="0"/>
        <v>2603227.02</v>
      </c>
      <c r="M37" s="26">
        <v>8061.35</v>
      </c>
    </row>
    <row r="38" spans="1:13" x14ac:dyDescent="0.25">
      <c r="A38" s="27" t="s">
        <v>267</v>
      </c>
      <c r="B38" s="28" t="s">
        <v>61</v>
      </c>
      <c r="C38" s="28" t="s">
        <v>62</v>
      </c>
      <c r="D38" s="29">
        <v>225.1</v>
      </c>
      <c r="E38" s="29">
        <v>142.1</v>
      </c>
      <c r="F38" s="26">
        <v>12956.9874872</v>
      </c>
      <c r="G38" s="26">
        <v>220942.55</v>
      </c>
      <c r="H38" s="29">
        <v>191</v>
      </c>
      <c r="I38" s="26">
        <v>3137560.43</v>
      </c>
      <c r="J38" s="26">
        <v>-220389.39</v>
      </c>
      <c r="K38" s="26">
        <v>-1145.7328542324012</v>
      </c>
      <c r="L38" s="26">
        <f t="shared" si="0"/>
        <v>2917171.04</v>
      </c>
      <c r="M38" s="26">
        <v>8061.35</v>
      </c>
    </row>
    <row r="39" spans="1:13" x14ac:dyDescent="0.25">
      <c r="A39" s="27" t="s">
        <v>268</v>
      </c>
      <c r="B39" s="28" t="s">
        <v>61</v>
      </c>
      <c r="C39" s="28" t="s">
        <v>63</v>
      </c>
      <c r="D39" s="29">
        <v>278.89999999999998</v>
      </c>
      <c r="E39" s="29">
        <v>190</v>
      </c>
      <c r="F39" s="26">
        <v>11600.004973159999</v>
      </c>
      <c r="G39" s="26">
        <v>264480.11</v>
      </c>
      <c r="H39" s="29">
        <v>244</v>
      </c>
      <c r="I39" s="26">
        <v>3499721.5</v>
      </c>
      <c r="J39" s="26">
        <v>-245828.41</v>
      </c>
      <c r="K39" s="26">
        <v>-1277.9820470769473</v>
      </c>
      <c r="L39" s="26">
        <f t="shared" si="0"/>
        <v>3253893.09</v>
      </c>
      <c r="M39" s="26">
        <v>8061.35</v>
      </c>
    </row>
    <row r="40" spans="1:13" x14ac:dyDescent="0.25">
      <c r="A40" s="27" t="s">
        <v>269</v>
      </c>
      <c r="B40" s="28" t="s">
        <v>64</v>
      </c>
      <c r="C40" s="28" t="s">
        <v>64</v>
      </c>
      <c r="D40" s="29">
        <v>458.7</v>
      </c>
      <c r="E40" s="29">
        <v>298.60000000000002</v>
      </c>
      <c r="F40" s="26">
        <v>9401.7717734300004</v>
      </c>
      <c r="G40" s="26">
        <v>336884.29</v>
      </c>
      <c r="H40" s="29">
        <v>425</v>
      </c>
      <c r="I40" s="26">
        <v>4649477</v>
      </c>
      <c r="J40" s="26">
        <v>-326589.86</v>
      </c>
      <c r="K40" s="26">
        <v>-1697.8345642142194</v>
      </c>
      <c r="L40" s="26">
        <f t="shared" si="0"/>
        <v>4322887.1399999997</v>
      </c>
      <c r="M40" s="26">
        <v>8061.35</v>
      </c>
    </row>
    <row r="41" spans="1:13" x14ac:dyDescent="0.25">
      <c r="A41" s="27" t="s">
        <v>270</v>
      </c>
      <c r="B41" s="28" t="s">
        <v>65</v>
      </c>
      <c r="C41" s="28" t="s">
        <v>66</v>
      </c>
      <c r="D41" s="29">
        <v>373.5</v>
      </c>
      <c r="E41" s="29">
        <v>173.1</v>
      </c>
      <c r="F41" s="26">
        <v>10749.14917758</v>
      </c>
      <c r="G41" s="26">
        <v>223281.33</v>
      </c>
      <c r="H41" s="29">
        <v>374</v>
      </c>
      <c r="I41" s="26">
        <v>4238088.55</v>
      </c>
      <c r="J41" s="26">
        <v>-297693</v>
      </c>
      <c r="K41" s="26">
        <v>-1547.6091660042505</v>
      </c>
      <c r="L41" s="26">
        <f t="shared" si="0"/>
        <v>3940395.55</v>
      </c>
      <c r="M41" s="26">
        <v>8061.35</v>
      </c>
    </row>
    <row r="42" spans="1:13" x14ac:dyDescent="0.25">
      <c r="A42" s="27" t="s">
        <v>271</v>
      </c>
      <c r="B42" s="28" t="s">
        <v>67</v>
      </c>
      <c r="C42" s="28" t="s">
        <v>67</v>
      </c>
      <c r="D42" s="29">
        <v>4808.8</v>
      </c>
      <c r="E42" s="29">
        <v>2246.4</v>
      </c>
      <c r="F42" s="26">
        <v>8374.9386191699996</v>
      </c>
      <c r="G42" s="26">
        <v>2457933.1</v>
      </c>
      <c r="H42" s="29">
        <v>4720</v>
      </c>
      <c r="I42" s="26">
        <v>42731344.990000002</v>
      </c>
      <c r="J42" s="26">
        <v>-3001547.03</v>
      </c>
      <c r="K42" s="26">
        <v>-15604.067841969058</v>
      </c>
      <c r="L42" s="26">
        <f t="shared" si="0"/>
        <v>39729797.960000001</v>
      </c>
      <c r="M42" s="26">
        <v>8061.35</v>
      </c>
    </row>
    <row r="43" spans="1:13" x14ac:dyDescent="0.25">
      <c r="A43" s="27" t="s">
        <v>272</v>
      </c>
      <c r="B43" s="28" t="s">
        <v>68</v>
      </c>
      <c r="C43" s="28" t="s">
        <v>68</v>
      </c>
      <c r="D43" s="29">
        <v>91185.2</v>
      </c>
      <c r="E43" s="29">
        <v>47070.3</v>
      </c>
      <c r="F43" s="26">
        <v>8745.0958715300003</v>
      </c>
      <c r="G43" s="26">
        <v>59838710.020000003</v>
      </c>
      <c r="H43" s="29">
        <v>86949</v>
      </c>
      <c r="I43" s="26">
        <v>857142930.63999999</v>
      </c>
      <c r="J43" s="26">
        <v>-60207672.43</v>
      </c>
      <c r="K43" s="26">
        <v>-313000.12769473367</v>
      </c>
      <c r="L43" s="26">
        <f t="shared" si="0"/>
        <v>796935258.21000004</v>
      </c>
      <c r="M43" s="26">
        <v>8061.35</v>
      </c>
    </row>
    <row r="44" spans="1:13" x14ac:dyDescent="0.25">
      <c r="A44" s="27" t="s">
        <v>273</v>
      </c>
      <c r="B44" s="28" t="s">
        <v>69</v>
      </c>
      <c r="C44" s="28" t="s">
        <v>69</v>
      </c>
      <c r="D44" s="29">
        <v>239.3</v>
      </c>
      <c r="E44" s="29">
        <v>82</v>
      </c>
      <c r="F44" s="26">
        <v>13290.860851670001</v>
      </c>
      <c r="G44" s="26">
        <v>130782.07</v>
      </c>
      <c r="H44" s="29">
        <v>217</v>
      </c>
      <c r="I44" s="26">
        <v>3311285.07</v>
      </c>
      <c r="J44" s="26">
        <v>-232592.21</v>
      </c>
      <c r="K44" s="26">
        <v>-1209.171320236579</v>
      </c>
      <c r="L44" s="26">
        <f t="shared" si="0"/>
        <v>3078692.86</v>
      </c>
      <c r="M44" s="26">
        <v>8061.35</v>
      </c>
    </row>
    <row r="45" spans="1:13" x14ac:dyDescent="0.25">
      <c r="A45" s="27" t="s">
        <v>274</v>
      </c>
      <c r="B45" s="28" t="s">
        <v>70</v>
      </c>
      <c r="C45" s="28" t="s">
        <v>70</v>
      </c>
      <c r="D45" s="29">
        <v>66036.2</v>
      </c>
      <c r="E45" s="29">
        <v>6299</v>
      </c>
      <c r="F45" s="26">
        <v>8738.6178901799994</v>
      </c>
      <c r="G45" s="26">
        <v>6605346.4900000002</v>
      </c>
      <c r="H45" s="29">
        <v>66179</v>
      </c>
      <c r="I45" s="26">
        <v>582983619.14999998</v>
      </c>
      <c r="J45" s="26">
        <v>-40950097.719999999</v>
      </c>
      <c r="K45" s="26">
        <v>-210848.9589865664</v>
      </c>
      <c r="L45" s="26">
        <f t="shared" si="0"/>
        <v>542033521.42999995</v>
      </c>
      <c r="M45" s="26">
        <v>8061.35</v>
      </c>
    </row>
    <row r="46" spans="1:13" x14ac:dyDescent="0.25">
      <c r="A46" s="27" t="s">
        <v>275</v>
      </c>
      <c r="B46" s="28" t="s">
        <v>71</v>
      </c>
      <c r="C46" s="28" t="s">
        <v>71</v>
      </c>
      <c r="D46" s="29">
        <v>7052</v>
      </c>
      <c r="E46" s="29">
        <v>1639.9</v>
      </c>
      <c r="F46" s="26">
        <v>9177.2001330900002</v>
      </c>
      <c r="G46" s="26">
        <v>1805962.86</v>
      </c>
      <c r="H46" s="29">
        <v>6844</v>
      </c>
      <c r="I46" s="26">
        <v>66522783</v>
      </c>
      <c r="J46" s="26">
        <v>-4672711.8499999996</v>
      </c>
      <c r="K46" s="26">
        <v>-23186.149780899497</v>
      </c>
      <c r="L46" s="26">
        <f t="shared" si="0"/>
        <v>61850071.149999999</v>
      </c>
      <c r="M46" s="26">
        <v>8061.35</v>
      </c>
    </row>
    <row r="47" spans="1:13" x14ac:dyDescent="0.25">
      <c r="A47" s="27" t="s">
        <v>276</v>
      </c>
      <c r="B47" s="28" t="s">
        <v>72</v>
      </c>
      <c r="C47" s="28" t="s">
        <v>73</v>
      </c>
      <c r="D47" s="29">
        <v>2310.1</v>
      </c>
      <c r="E47" s="29">
        <v>342</v>
      </c>
      <c r="F47" s="26">
        <v>8874.9970102200004</v>
      </c>
      <c r="G47" s="26">
        <v>364229.88</v>
      </c>
      <c r="H47" s="29">
        <v>2226</v>
      </c>
      <c r="I47" s="26">
        <v>20865374.48</v>
      </c>
      <c r="J47" s="26">
        <v>-1465631.44</v>
      </c>
      <c r="K47" s="26">
        <v>-7619.3417046243403</v>
      </c>
      <c r="L47" s="26">
        <f t="shared" si="0"/>
        <v>19399743.039999999</v>
      </c>
      <c r="M47" s="26">
        <v>8061.35</v>
      </c>
    </row>
    <row r="48" spans="1:13" x14ac:dyDescent="0.25">
      <c r="A48" s="27" t="s">
        <v>277</v>
      </c>
      <c r="B48" s="28" t="s">
        <v>72</v>
      </c>
      <c r="C48" s="28" t="s">
        <v>74</v>
      </c>
      <c r="D48" s="29">
        <v>254.3</v>
      </c>
      <c r="E48" s="29">
        <v>60</v>
      </c>
      <c r="F48" s="26">
        <v>13278.653687489999</v>
      </c>
      <c r="G48" s="26">
        <v>95606.31</v>
      </c>
      <c r="H48" s="29">
        <v>217</v>
      </c>
      <c r="I48" s="26">
        <v>3472367.94</v>
      </c>
      <c r="J48" s="26">
        <v>-243907.04</v>
      </c>
      <c r="K48" s="26">
        <v>-1267.9934330263702</v>
      </c>
      <c r="L48" s="26">
        <f t="shared" si="0"/>
        <v>3228460.9</v>
      </c>
      <c r="M48" s="26">
        <v>8061.35</v>
      </c>
    </row>
    <row r="49" spans="1:13" x14ac:dyDescent="0.25">
      <c r="A49" s="27" t="s">
        <v>278</v>
      </c>
      <c r="B49" s="28" t="s">
        <v>72</v>
      </c>
      <c r="C49" s="28" t="s">
        <v>75</v>
      </c>
      <c r="D49" s="29">
        <v>320</v>
      </c>
      <c r="E49" s="29">
        <v>118.6</v>
      </c>
      <c r="F49" s="26">
        <v>11902.026914759999</v>
      </c>
      <c r="G49" s="26">
        <v>169389.65</v>
      </c>
      <c r="H49" s="29">
        <v>307</v>
      </c>
      <c r="I49" s="26">
        <v>3978038.26</v>
      </c>
      <c r="J49" s="26">
        <v>-279426.46999999997</v>
      </c>
      <c r="K49" s="26">
        <v>-1452.647439847857</v>
      </c>
      <c r="L49" s="26">
        <f t="shared" si="0"/>
        <v>3698611.79</v>
      </c>
      <c r="M49" s="26">
        <v>8061.35</v>
      </c>
    </row>
    <row r="50" spans="1:13" x14ac:dyDescent="0.25">
      <c r="A50" s="27" t="s">
        <v>279</v>
      </c>
      <c r="B50" s="28" t="s">
        <v>72</v>
      </c>
      <c r="C50" s="28" t="s">
        <v>72</v>
      </c>
      <c r="D50" s="29">
        <v>232.5</v>
      </c>
      <c r="E50" s="29">
        <v>63.5</v>
      </c>
      <c r="F50" s="26">
        <v>13838.219521270001</v>
      </c>
      <c r="G50" s="26">
        <v>105447.23</v>
      </c>
      <c r="H50" s="29">
        <v>228</v>
      </c>
      <c r="I50" s="26">
        <v>3322833.27</v>
      </c>
      <c r="J50" s="26">
        <v>-233403.38</v>
      </c>
      <c r="K50" s="26">
        <v>-1213.3883400339096</v>
      </c>
      <c r="L50" s="26">
        <f t="shared" si="0"/>
        <v>3089429.89</v>
      </c>
      <c r="M50" s="26">
        <v>8061.35</v>
      </c>
    </row>
    <row r="51" spans="1:13" x14ac:dyDescent="0.25">
      <c r="A51" s="27" t="s">
        <v>280</v>
      </c>
      <c r="B51" s="28" t="s">
        <v>72</v>
      </c>
      <c r="C51" s="28" t="s">
        <v>76</v>
      </c>
      <c r="D51" s="29">
        <v>50</v>
      </c>
      <c r="E51" s="29">
        <v>20</v>
      </c>
      <c r="F51" s="26">
        <v>18930.52950026</v>
      </c>
      <c r="G51" s="26">
        <v>45433.27</v>
      </c>
      <c r="H51" s="29">
        <v>37</v>
      </c>
      <c r="I51" s="26">
        <v>991959.75</v>
      </c>
      <c r="J51" s="26">
        <v>-69677.509999999995</v>
      </c>
      <c r="K51" s="26">
        <v>-362.23075327220187</v>
      </c>
      <c r="L51" s="26">
        <f t="shared" si="0"/>
        <v>922282.24</v>
      </c>
      <c r="M51" s="26">
        <v>8061.35</v>
      </c>
    </row>
    <row r="52" spans="1:13" x14ac:dyDescent="0.25">
      <c r="A52" s="27" t="s">
        <v>281</v>
      </c>
      <c r="B52" s="28" t="s">
        <v>77</v>
      </c>
      <c r="C52" s="28" t="s">
        <v>78</v>
      </c>
      <c r="D52" s="29">
        <v>455.5</v>
      </c>
      <c r="E52" s="29">
        <v>159</v>
      </c>
      <c r="F52" s="26">
        <v>10092.087079270001</v>
      </c>
      <c r="G52" s="26">
        <v>192557.02</v>
      </c>
      <c r="H52" s="29">
        <v>446</v>
      </c>
      <c r="I52" s="26">
        <v>4789502.68</v>
      </c>
      <c r="J52" s="26">
        <v>-336425.58</v>
      </c>
      <c r="K52" s="26">
        <v>-1748.967292606862</v>
      </c>
      <c r="L52" s="26">
        <f t="shared" si="0"/>
        <v>4453077.0999999996</v>
      </c>
      <c r="M52" s="26">
        <v>8061.35</v>
      </c>
    </row>
    <row r="53" spans="1:13" x14ac:dyDescent="0.25">
      <c r="A53" s="27" t="s">
        <v>282</v>
      </c>
      <c r="B53" s="28" t="s">
        <v>77</v>
      </c>
      <c r="C53" s="28" t="s">
        <v>79</v>
      </c>
      <c r="D53" s="29">
        <v>11801.5</v>
      </c>
      <c r="E53" s="29">
        <v>7811.1</v>
      </c>
      <c r="F53" s="26">
        <v>8474.6326343199999</v>
      </c>
      <c r="G53" s="26">
        <v>11152601.630000001</v>
      </c>
      <c r="H53" s="29">
        <v>11543</v>
      </c>
      <c r="I53" s="26">
        <v>111165886.03</v>
      </c>
      <c r="J53" s="26">
        <v>-7808545.1200000001</v>
      </c>
      <c r="K53" s="26">
        <v>-40594.089130504195</v>
      </c>
      <c r="L53" s="26">
        <f t="shared" si="0"/>
        <v>103357340.91</v>
      </c>
      <c r="M53" s="26">
        <v>8061.35</v>
      </c>
    </row>
    <row r="54" spans="1:13" x14ac:dyDescent="0.25">
      <c r="A54" s="27" t="s">
        <v>283</v>
      </c>
      <c r="B54" s="28" t="s">
        <v>77</v>
      </c>
      <c r="C54" s="28" t="s">
        <v>80</v>
      </c>
      <c r="D54" s="29">
        <v>9388.7000000000007</v>
      </c>
      <c r="E54" s="29">
        <v>3331.6</v>
      </c>
      <c r="F54" s="26">
        <v>8281.0276036600008</v>
      </c>
      <c r="G54" s="26">
        <v>3315406.7</v>
      </c>
      <c r="H54" s="29">
        <v>9246</v>
      </c>
      <c r="I54" s="26">
        <v>81433277.849999994</v>
      </c>
      <c r="J54" s="26">
        <v>-5720058.9800000004</v>
      </c>
      <c r="K54" s="26">
        <v>-29736.728210166104</v>
      </c>
      <c r="L54" s="26">
        <f t="shared" si="0"/>
        <v>75713218.86999999</v>
      </c>
      <c r="M54" s="26">
        <v>8061.35</v>
      </c>
    </row>
    <row r="55" spans="1:13" x14ac:dyDescent="0.25">
      <c r="A55" s="27" t="s">
        <v>284</v>
      </c>
      <c r="B55" s="28" t="s">
        <v>77</v>
      </c>
      <c r="C55" s="28" t="s">
        <v>81</v>
      </c>
      <c r="D55" s="29">
        <v>8313</v>
      </c>
      <c r="E55" s="29">
        <v>2589.3000000000002</v>
      </c>
      <c r="F55" s="26">
        <v>8343.27134114</v>
      </c>
      <c r="G55" s="26">
        <v>2592387.9</v>
      </c>
      <c r="H55" s="29">
        <v>8016</v>
      </c>
      <c r="I55" s="26">
        <v>72104778.590000004</v>
      </c>
      <c r="J55" s="26">
        <v>-5064803.9400000004</v>
      </c>
      <c r="K55" s="26">
        <v>-26330.270131645189</v>
      </c>
      <c r="L55" s="26">
        <f t="shared" si="0"/>
        <v>67039974.650000006</v>
      </c>
      <c r="M55" s="26">
        <v>8061.35</v>
      </c>
    </row>
    <row r="56" spans="1:13" x14ac:dyDescent="0.25">
      <c r="A56" s="27" t="s">
        <v>285</v>
      </c>
      <c r="B56" s="28" t="s">
        <v>77</v>
      </c>
      <c r="C56" s="28" t="s">
        <v>82</v>
      </c>
      <c r="D56" s="29">
        <v>30567.4</v>
      </c>
      <c r="E56" s="29">
        <v>14022</v>
      </c>
      <c r="F56" s="26">
        <v>8492.4545989199996</v>
      </c>
      <c r="G56" s="26">
        <v>15677142.439999999</v>
      </c>
      <c r="H56" s="29">
        <v>29038</v>
      </c>
      <c r="I56" s="26">
        <v>275239521.18000001</v>
      </c>
      <c r="J56" s="26">
        <v>-19333451.09</v>
      </c>
      <c r="K56" s="26">
        <v>-87841.242929757966</v>
      </c>
      <c r="L56" s="26">
        <f t="shared" si="0"/>
        <v>255906070.09</v>
      </c>
      <c r="M56" s="26">
        <v>8061.35</v>
      </c>
    </row>
    <row r="57" spans="1:13" x14ac:dyDescent="0.25">
      <c r="A57" s="27" t="s">
        <v>286</v>
      </c>
      <c r="B57" s="28" t="s">
        <v>77</v>
      </c>
      <c r="C57" s="28" t="s">
        <v>83</v>
      </c>
      <c r="D57" s="29">
        <v>5175.3</v>
      </c>
      <c r="E57" s="29">
        <v>604.1</v>
      </c>
      <c r="F57" s="26">
        <v>8470.7479929000001</v>
      </c>
      <c r="G57" s="26">
        <v>614061.46</v>
      </c>
      <c r="H57" s="29">
        <v>5170</v>
      </c>
      <c r="I57" s="26">
        <v>44889465.390000001</v>
      </c>
      <c r="J57" s="26">
        <v>-3153138.33</v>
      </c>
      <c r="K57" s="26">
        <v>-16392.141726331825</v>
      </c>
      <c r="L57" s="26">
        <f t="shared" si="0"/>
        <v>41736327.060000002</v>
      </c>
      <c r="M57" s="26">
        <v>8061.35</v>
      </c>
    </row>
    <row r="58" spans="1:13" x14ac:dyDescent="0.25">
      <c r="A58" s="27" t="s">
        <v>287</v>
      </c>
      <c r="B58" s="28" t="s">
        <v>77</v>
      </c>
      <c r="C58" s="28" t="s">
        <v>84</v>
      </c>
      <c r="D58" s="29">
        <v>1432.5</v>
      </c>
      <c r="E58" s="29">
        <v>384.3</v>
      </c>
      <c r="F58" s="26">
        <v>8998.0513663000002</v>
      </c>
      <c r="G58" s="26">
        <v>414954.14</v>
      </c>
      <c r="H58" s="29">
        <v>1393</v>
      </c>
      <c r="I58" s="26">
        <v>13304662.720000001</v>
      </c>
      <c r="J58" s="26">
        <v>-934549.82</v>
      </c>
      <c r="K58" s="26">
        <v>-4858.4209035936565</v>
      </c>
      <c r="L58" s="26">
        <f t="shared" si="0"/>
        <v>12370112.9</v>
      </c>
      <c r="M58" s="26">
        <v>8061.35</v>
      </c>
    </row>
    <row r="59" spans="1:13" x14ac:dyDescent="0.25">
      <c r="A59" s="27" t="s">
        <v>288</v>
      </c>
      <c r="B59" s="28" t="s">
        <v>77</v>
      </c>
      <c r="C59" s="28" t="s">
        <v>85</v>
      </c>
      <c r="D59" s="29">
        <v>25613.4</v>
      </c>
      <c r="E59" s="29">
        <v>2640.2</v>
      </c>
      <c r="F59" s="26">
        <v>8551.2045212600005</v>
      </c>
      <c r="G59" s="26">
        <v>2709226.82</v>
      </c>
      <c r="H59" s="29">
        <v>26241</v>
      </c>
      <c r="I59" s="26">
        <v>221922483.50999999</v>
      </c>
      <c r="J59" s="26">
        <v>-15588340.890000001</v>
      </c>
      <c r="K59" s="26">
        <v>-81038.719673292784</v>
      </c>
      <c r="L59" s="26">
        <f t="shared" si="0"/>
        <v>206334142.62</v>
      </c>
      <c r="M59" s="26">
        <v>8061.35</v>
      </c>
    </row>
    <row r="60" spans="1:13" x14ac:dyDescent="0.25">
      <c r="A60" s="27" t="s">
        <v>289</v>
      </c>
      <c r="B60" s="28" t="s">
        <v>77</v>
      </c>
      <c r="C60" s="28" t="s">
        <v>86</v>
      </c>
      <c r="D60" s="29">
        <v>1087.5</v>
      </c>
      <c r="E60" s="29">
        <v>505.3</v>
      </c>
      <c r="F60" s="26">
        <v>9040.2932148599994</v>
      </c>
      <c r="G60" s="26">
        <v>604569.59999999998</v>
      </c>
      <c r="H60" s="29">
        <v>1036</v>
      </c>
      <c r="I60" s="26">
        <v>10435888.470000001</v>
      </c>
      <c r="J60" s="26">
        <v>-733040.58</v>
      </c>
      <c r="K60" s="26">
        <v>-3810.8398358405934</v>
      </c>
      <c r="L60" s="26">
        <f t="shared" si="0"/>
        <v>9702847.8900000006</v>
      </c>
      <c r="M60" s="26">
        <v>8061.35</v>
      </c>
    </row>
    <row r="61" spans="1:13" x14ac:dyDescent="0.25">
      <c r="A61" s="27" t="s">
        <v>290</v>
      </c>
      <c r="B61" s="28" t="s">
        <v>77</v>
      </c>
      <c r="C61" s="28" t="s">
        <v>87</v>
      </c>
      <c r="D61" s="29">
        <v>626.9</v>
      </c>
      <c r="E61" s="29">
        <v>132.19999999999999</v>
      </c>
      <c r="F61" s="26">
        <v>9786.4892470100003</v>
      </c>
      <c r="G61" s="26">
        <v>155252.87</v>
      </c>
      <c r="H61" s="29">
        <v>609</v>
      </c>
      <c r="I61" s="26">
        <v>6247566.0599999996</v>
      </c>
      <c r="J61" s="26">
        <v>-438843.27</v>
      </c>
      <c r="K61" s="26">
        <v>-2281.4036099959008</v>
      </c>
      <c r="L61" s="26">
        <f t="shared" si="0"/>
        <v>5808722.7899999991</v>
      </c>
      <c r="M61" s="26">
        <v>8061.35</v>
      </c>
    </row>
    <row r="62" spans="1:13" x14ac:dyDescent="0.25">
      <c r="A62" s="27" t="s">
        <v>291</v>
      </c>
      <c r="B62" s="28" t="s">
        <v>77</v>
      </c>
      <c r="C62" s="28" t="s">
        <v>88</v>
      </c>
      <c r="D62" s="29">
        <v>252.7</v>
      </c>
      <c r="E62" s="29">
        <v>96.6</v>
      </c>
      <c r="F62" s="26">
        <v>12986.16868115</v>
      </c>
      <c r="G62" s="26">
        <v>150535.67000000001</v>
      </c>
      <c r="H62" s="29">
        <v>233</v>
      </c>
      <c r="I62" s="26">
        <v>3404515.48</v>
      </c>
      <c r="J62" s="26">
        <v>-239140.92</v>
      </c>
      <c r="K62" s="26">
        <v>-1243.2159717804655</v>
      </c>
      <c r="L62" s="26">
        <f t="shared" si="0"/>
        <v>3165374.56</v>
      </c>
      <c r="M62" s="26">
        <v>8061.35</v>
      </c>
    </row>
    <row r="63" spans="1:13" x14ac:dyDescent="0.25">
      <c r="A63" s="27" t="s">
        <v>292</v>
      </c>
      <c r="B63" s="28" t="s">
        <v>77</v>
      </c>
      <c r="C63" s="28" t="s">
        <v>89</v>
      </c>
      <c r="D63" s="29">
        <v>6517.2</v>
      </c>
      <c r="E63" s="29">
        <v>557.9</v>
      </c>
      <c r="F63" s="26">
        <v>8601.0241347299998</v>
      </c>
      <c r="G63" s="26">
        <v>575821.36</v>
      </c>
      <c r="H63" s="29">
        <v>6511</v>
      </c>
      <c r="I63" s="26">
        <v>56629758.780000001</v>
      </c>
      <c r="J63" s="26">
        <v>-3977803.29</v>
      </c>
      <c r="K63" s="26">
        <v>-20679.306909777581</v>
      </c>
      <c r="L63" s="26">
        <f t="shared" si="0"/>
        <v>52651955.490000002</v>
      </c>
      <c r="M63" s="26">
        <v>8061.35</v>
      </c>
    </row>
    <row r="64" spans="1:13" x14ac:dyDescent="0.25">
      <c r="A64" s="27" t="s">
        <v>293</v>
      </c>
      <c r="B64" s="28" t="s">
        <v>77</v>
      </c>
      <c r="C64" s="28" t="s">
        <v>90</v>
      </c>
      <c r="D64" s="29">
        <v>25811.4</v>
      </c>
      <c r="E64" s="29">
        <v>6856</v>
      </c>
      <c r="F64" s="26">
        <v>8493.3021049800009</v>
      </c>
      <c r="G64" s="26">
        <v>6987609.5099999998</v>
      </c>
      <c r="H64" s="29">
        <v>23497</v>
      </c>
      <c r="I64" s="26">
        <v>225295611.13999999</v>
      </c>
      <c r="J64" s="26">
        <v>-15825277.060000001</v>
      </c>
      <c r="K64" s="26">
        <v>-82270.473843211133</v>
      </c>
      <c r="L64" s="26">
        <f t="shared" si="0"/>
        <v>209470334.07999998</v>
      </c>
      <c r="M64" s="26">
        <v>8061.35</v>
      </c>
    </row>
    <row r="65" spans="1:13" x14ac:dyDescent="0.25">
      <c r="A65" s="27" t="s">
        <v>294</v>
      </c>
      <c r="B65" s="28" t="s">
        <v>77</v>
      </c>
      <c r="C65" s="28" t="s">
        <v>91</v>
      </c>
      <c r="D65" s="29">
        <v>207</v>
      </c>
      <c r="E65" s="29">
        <v>105.6</v>
      </c>
      <c r="F65" s="26">
        <v>14193.942532970001</v>
      </c>
      <c r="G65" s="26">
        <v>179865.64</v>
      </c>
      <c r="H65" s="29">
        <v>239</v>
      </c>
      <c r="I65" s="26">
        <v>3071516.2</v>
      </c>
      <c r="J65" s="26">
        <v>-215750.3</v>
      </c>
      <c r="K65" s="26">
        <v>-1121.6156923135238</v>
      </c>
      <c r="L65" s="26">
        <f t="shared" si="0"/>
        <v>2855765.9000000004</v>
      </c>
      <c r="M65" s="26">
        <v>8061.35</v>
      </c>
    </row>
    <row r="66" spans="1:13" x14ac:dyDescent="0.25">
      <c r="A66" s="27" t="s">
        <v>295</v>
      </c>
      <c r="B66" s="28" t="s">
        <v>77</v>
      </c>
      <c r="C66" s="28" t="s">
        <v>92</v>
      </c>
      <c r="D66" s="29">
        <v>284.8</v>
      </c>
      <c r="E66" s="29">
        <v>99</v>
      </c>
      <c r="F66" s="26">
        <v>12071.78855148</v>
      </c>
      <c r="G66" s="26">
        <v>143412.85</v>
      </c>
      <c r="H66" s="29">
        <v>262</v>
      </c>
      <c r="I66" s="26">
        <v>3581458.23</v>
      </c>
      <c r="J66" s="26">
        <v>-251569.79</v>
      </c>
      <c r="K66" s="26">
        <v>-1307.8295836354791</v>
      </c>
      <c r="L66" s="26">
        <f t="shared" si="0"/>
        <v>3329888.44</v>
      </c>
      <c r="M66" s="26">
        <v>8061.35</v>
      </c>
    </row>
    <row r="67" spans="1:13" x14ac:dyDescent="0.25">
      <c r="A67" s="27" t="s">
        <v>296</v>
      </c>
      <c r="B67" s="28" t="s">
        <v>93</v>
      </c>
      <c r="C67" s="28" t="s">
        <v>94</v>
      </c>
      <c r="D67" s="29">
        <v>3726.2</v>
      </c>
      <c r="E67" s="29">
        <v>1766.3</v>
      </c>
      <c r="F67" s="26">
        <v>8164.5371269699999</v>
      </c>
      <c r="G67" s="26">
        <v>1952406.99</v>
      </c>
      <c r="H67" s="29">
        <v>3482</v>
      </c>
      <c r="I67" s="26">
        <v>32375105.23</v>
      </c>
      <c r="J67" s="26">
        <v>-2274101.16</v>
      </c>
      <c r="K67" s="26">
        <v>-11822.313068205362</v>
      </c>
      <c r="L67" s="26">
        <f t="shared" si="0"/>
        <v>30101004.07</v>
      </c>
      <c r="M67" s="26">
        <v>8061.35</v>
      </c>
    </row>
    <row r="68" spans="1:13" x14ac:dyDescent="0.25">
      <c r="A68" s="27" t="s">
        <v>297</v>
      </c>
      <c r="B68" s="28" t="s">
        <v>93</v>
      </c>
      <c r="C68" s="28" t="s">
        <v>95</v>
      </c>
      <c r="D68" s="29">
        <v>1374.3</v>
      </c>
      <c r="E68" s="29">
        <v>596.29999999999995</v>
      </c>
      <c r="F68" s="26">
        <v>8556.0029961399996</v>
      </c>
      <c r="G68" s="26">
        <v>652806.77</v>
      </c>
      <c r="H68" s="29">
        <v>1308</v>
      </c>
      <c r="I68" s="26">
        <v>12411147.68</v>
      </c>
      <c r="J68" s="26">
        <v>-871787.29</v>
      </c>
      <c r="K68" s="26">
        <v>-4532.138888795158</v>
      </c>
      <c r="L68" s="26">
        <f t="shared" si="0"/>
        <v>11539360.390000001</v>
      </c>
      <c r="M68" s="26">
        <v>8061.35</v>
      </c>
    </row>
    <row r="69" spans="1:13" x14ac:dyDescent="0.25">
      <c r="A69" s="27" t="s">
        <v>298</v>
      </c>
      <c r="B69" s="28" t="s">
        <v>93</v>
      </c>
      <c r="C69" s="28" t="s">
        <v>96</v>
      </c>
      <c r="D69" s="29">
        <v>218</v>
      </c>
      <c r="E69" s="29">
        <v>90</v>
      </c>
      <c r="F69" s="26">
        <v>13503.31139841</v>
      </c>
      <c r="G69" s="26">
        <v>145835.76</v>
      </c>
      <c r="H69" s="29">
        <v>210</v>
      </c>
      <c r="I69" s="26">
        <v>3089557.64</v>
      </c>
      <c r="J69" s="26">
        <v>-217017.57</v>
      </c>
      <c r="K69" s="26">
        <v>-1128.2038276706744</v>
      </c>
      <c r="L69" s="26">
        <f t="shared" ref="L69:L132" si="1">I69+J69</f>
        <v>2872540.0700000003</v>
      </c>
      <c r="M69" s="26">
        <v>8061.35</v>
      </c>
    </row>
    <row r="70" spans="1:13" x14ac:dyDescent="0.25">
      <c r="A70" s="27" t="s">
        <v>299</v>
      </c>
      <c r="B70" s="28" t="s">
        <v>97</v>
      </c>
      <c r="C70" s="28" t="s">
        <v>98</v>
      </c>
      <c r="D70" s="29">
        <v>6284.6</v>
      </c>
      <c r="E70" s="29">
        <v>1833</v>
      </c>
      <c r="F70" s="26">
        <v>9111.0266588600007</v>
      </c>
      <c r="G70" s="26">
        <v>2004061.42</v>
      </c>
      <c r="H70" s="29">
        <v>6081</v>
      </c>
      <c r="I70" s="26">
        <v>59263219.560000002</v>
      </c>
      <c r="J70" s="26">
        <v>-4162783.57</v>
      </c>
      <c r="K70" s="26">
        <v>-19433.131737045445</v>
      </c>
      <c r="L70" s="26">
        <f t="shared" si="1"/>
        <v>55100435.990000002</v>
      </c>
      <c r="M70" s="26">
        <v>8061.35</v>
      </c>
    </row>
    <row r="71" spans="1:13" x14ac:dyDescent="0.25">
      <c r="A71" s="27" t="s">
        <v>300</v>
      </c>
      <c r="B71" s="28" t="s">
        <v>97</v>
      </c>
      <c r="C71" s="28" t="s">
        <v>99</v>
      </c>
      <c r="D71" s="29">
        <v>4837.2</v>
      </c>
      <c r="E71" s="29">
        <v>1690.7</v>
      </c>
      <c r="F71" s="26">
        <v>8455.9624059300004</v>
      </c>
      <c r="G71" s="26">
        <v>1722995.69</v>
      </c>
      <c r="H71" s="29">
        <v>4553</v>
      </c>
      <c r="I71" s="26">
        <v>42626177.039999999</v>
      </c>
      <c r="J71" s="26">
        <v>-2994159.8</v>
      </c>
      <c r="K71" s="26">
        <v>-15565.66399732699</v>
      </c>
      <c r="L71" s="26">
        <f t="shared" si="1"/>
        <v>39632017.240000002</v>
      </c>
      <c r="M71" s="26">
        <v>8061.35</v>
      </c>
    </row>
    <row r="72" spans="1:13" x14ac:dyDescent="0.25">
      <c r="A72" s="27" t="s">
        <v>301</v>
      </c>
      <c r="B72" s="28" t="s">
        <v>97</v>
      </c>
      <c r="C72" s="28" t="s">
        <v>100</v>
      </c>
      <c r="D72" s="29">
        <v>1282</v>
      </c>
      <c r="E72" s="29">
        <v>593.4</v>
      </c>
      <c r="F72" s="26">
        <v>9096.1379479499992</v>
      </c>
      <c r="G72" s="26">
        <v>713587.66</v>
      </c>
      <c r="H72" s="29">
        <v>1219</v>
      </c>
      <c r="I72" s="26">
        <v>12374836.51</v>
      </c>
      <c r="J72" s="26">
        <v>-869236.71</v>
      </c>
      <c r="K72" s="26">
        <v>-4518.8792558799523</v>
      </c>
      <c r="L72" s="26">
        <f t="shared" si="1"/>
        <v>11505599.800000001</v>
      </c>
      <c r="M72" s="26">
        <v>8061.35</v>
      </c>
    </row>
    <row r="73" spans="1:13" x14ac:dyDescent="0.25">
      <c r="A73" s="27" t="s">
        <v>302</v>
      </c>
      <c r="B73" s="28" t="s">
        <v>101</v>
      </c>
      <c r="C73" s="28" t="s">
        <v>101</v>
      </c>
      <c r="D73" s="29">
        <v>461</v>
      </c>
      <c r="E73" s="29">
        <v>118.1</v>
      </c>
      <c r="F73" s="26">
        <v>10275.71569408</v>
      </c>
      <c r="G73" s="26">
        <v>145627.44</v>
      </c>
      <c r="H73" s="29">
        <v>453</v>
      </c>
      <c r="I73" s="26">
        <v>4882732.37</v>
      </c>
      <c r="J73" s="26">
        <v>-342974.25</v>
      </c>
      <c r="K73" s="26">
        <v>-1783.0116770775019</v>
      </c>
      <c r="L73" s="26">
        <f t="shared" si="1"/>
        <v>4539758.12</v>
      </c>
      <c r="M73" s="26">
        <v>8061.35</v>
      </c>
    </row>
    <row r="74" spans="1:13" x14ac:dyDescent="0.25">
      <c r="A74" s="27" t="s">
        <v>303</v>
      </c>
      <c r="B74" s="28" t="s">
        <v>102</v>
      </c>
      <c r="C74" s="28" t="s">
        <v>103</v>
      </c>
      <c r="D74" s="29">
        <v>445.5</v>
      </c>
      <c r="E74" s="29">
        <v>107.3</v>
      </c>
      <c r="F74" s="26">
        <v>10480.45111013</v>
      </c>
      <c r="G74" s="26">
        <v>134946.29</v>
      </c>
      <c r="H74" s="29">
        <v>434</v>
      </c>
      <c r="I74" s="26">
        <v>4803987.26</v>
      </c>
      <c r="J74" s="26">
        <v>-337443.01</v>
      </c>
      <c r="K74" s="26">
        <v>-1754.2565800693742</v>
      </c>
      <c r="L74" s="26">
        <f t="shared" si="1"/>
        <v>4466544.25</v>
      </c>
      <c r="M74" s="26">
        <v>8061.35</v>
      </c>
    </row>
    <row r="75" spans="1:13" x14ac:dyDescent="0.25">
      <c r="A75" s="27" t="s">
        <v>304</v>
      </c>
      <c r="B75" s="28" t="s">
        <v>102</v>
      </c>
      <c r="C75" s="28" t="s">
        <v>104</v>
      </c>
      <c r="D75" s="29">
        <v>1330.5</v>
      </c>
      <c r="E75" s="29">
        <v>313.7</v>
      </c>
      <c r="F75" s="26">
        <v>8919.4651518200008</v>
      </c>
      <c r="G75" s="26">
        <v>335764.35</v>
      </c>
      <c r="H75" s="29">
        <v>1302</v>
      </c>
      <c r="I75" s="26">
        <v>12203112.73</v>
      </c>
      <c r="J75" s="26">
        <v>-857174.44</v>
      </c>
      <c r="K75" s="26">
        <v>-4456.1714355104768</v>
      </c>
      <c r="L75" s="26">
        <f t="shared" si="1"/>
        <v>11345938.290000001</v>
      </c>
      <c r="M75" s="26">
        <v>8061.35</v>
      </c>
    </row>
    <row r="76" spans="1:13" x14ac:dyDescent="0.25">
      <c r="A76" s="27" t="s">
        <v>305</v>
      </c>
      <c r="B76" s="28" t="s">
        <v>105</v>
      </c>
      <c r="C76" s="28" t="s">
        <v>105</v>
      </c>
      <c r="D76" s="29">
        <v>2062.5</v>
      </c>
      <c r="E76" s="29">
        <v>392.4</v>
      </c>
      <c r="F76" s="26">
        <v>8800.2118865699995</v>
      </c>
      <c r="G76" s="26">
        <v>414384.38</v>
      </c>
      <c r="H76" s="29">
        <v>2025</v>
      </c>
      <c r="I76" s="26">
        <v>18564403.18</v>
      </c>
      <c r="J76" s="26">
        <v>-1304005.98</v>
      </c>
      <c r="K76" s="26">
        <v>-6779.103411482155</v>
      </c>
      <c r="L76" s="26">
        <f t="shared" si="1"/>
        <v>17260397.199999999</v>
      </c>
      <c r="M76" s="26">
        <v>8061.35</v>
      </c>
    </row>
    <row r="77" spans="1:13" x14ac:dyDescent="0.25">
      <c r="A77" s="27" t="s">
        <v>306</v>
      </c>
      <c r="B77" s="28" t="s">
        <v>106</v>
      </c>
      <c r="C77" s="28" t="s">
        <v>106</v>
      </c>
      <c r="D77" s="29">
        <v>88.6</v>
      </c>
      <c r="E77" s="29">
        <v>16.3</v>
      </c>
      <c r="F77" s="26">
        <v>18366.876589700001</v>
      </c>
      <c r="G77" s="26">
        <v>35925.61</v>
      </c>
      <c r="H77" s="29">
        <v>80</v>
      </c>
      <c r="I77" s="26">
        <v>1663230.88</v>
      </c>
      <c r="J77" s="26">
        <v>-116829.13</v>
      </c>
      <c r="K77" s="26">
        <v>-607.3566707344936</v>
      </c>
      <c r="L77" s="26">
        <f t="shared" si="1"/>
        <v>1546401.75</v>
      </c>
      <c r="M77" s="26">
        <v>8061.35</v>
      </c>
    </row>
    <row r="78" spans="1:13" x14ac:dyDescent="0.25">
      <c r="A78" s="27" t="s">
        <v>307</v>
      </c>
      <c r="B78" s="28" t="s">
        <v>107</v>
      </c>
      <c r="C78" s="28" t="s">
        <v>107</v>
      </c>
      <c r="D78" s="29">
        <v>529.1</v>
      </c>
      <c r="E78" s="29">
        <v>383.5</v>
      </c>
      <c r="F78" s="26">
        <v>9100.7110764699992</v>
      </c>
      <c r="G78" s="26">
        <v>664611.74</v>
      </c>
      <c r="H78" s="29">
        <v>497</v>
      </c>
      <c r="I78" s="26">
        <v>5360287.62</v>
      </c>
      <c r="J78" s="26">
        <v>-376518.82</v>
      </c>
      <c r="K78" s="26">
        <v>-1957.3989916129117</v>
      </c>
      <c r="L78" s="26">
        <f t="shared" si="1"/>
        <v>4983768.8</v>
      </c>
      <c r="M78" s="26">
        <v>8061.35</v>
      </c>
    </row>
    <row r="79" spans="1:13" x14ac:dyDescent="0.25">
      <c r="A79" s="27" t="s">
        <v>308</v>
      </c>
      <c r="B79" s="28" t="s">
        <v>107</v>
      </c>
      <c r="C79" s="28" t="s">
        <v>108</v>
      </c>
      <c r="D79" s="29">
        <v>213.4</v>
      </c>
      <c r="E79" s="29">
        <v>100.5</v>
      </c>
      <c r="F79" s="26">
        <v>13043.76527862</v>
      </c>
      <c r="G79" s="26">
        <v>157307.81</v>
      </c>
      <c r="H79" s="29">
        <v>201</v>
      </c>
      <c r="I79" s="26">
        <v>2940847.32</v>
      </c>
      <c r="J79" s="26">
        <v>-206571.82</v>
      </c>
      <c r="K79" s="26">
        <v>-1073.899757647644</v>
      </c>
      <c r="L79" s="26">
        <f t="shared" si="1"/>
        <v>2734275.5</v>
      </c>
      <c r="M79" s="26">
        <v>8061.35</v>
      </c>
    </row>
    <row r="80" spans="1:13" x14ac:dyDescent="0.25">
      <c r="A80" s="27" t="s">
        <v>309</v>
      </c>
      <c r="B80" s="28" t="s">
        <v>109</v>
      </c>
      <c r="C80" s="28" t="s">
        <v>110</v>
      </c>
      <c r="D80" s="29">
        <v>172.2</v>
      </c>
      <c r="E80" s="29">
        <v>59.8</v>
      </c>
      <c r="F80" s="26">
        <v>15240.897225180001</v>
      </c>
      <c r="G80" s="26">
        <v>109368.68</v>
      </c>
      <c r="H80" s="29">
        <v>162</v>
      </c>
      <c r="I80" s="26">
        <v>2733851.18</v>
      </c>
      <c r="J80" s="26">
        <v>-185033</v>
      </c>
      <c r="K80" s="26">
        <v>-1001.0605097364584</v>
      </c>
      <c r="L80" s="26">
        <f t="shared" si="1"/>
        <v>2548818.1800000002</v>
      </c>
      <c r="M80" s="26">
        <v>8061.35</v>
      </c>
    </row>
    <row r="81" spans="1:13" x14ac:dyDescent="0.25">
      <c r="A81" s="27" t="s">
        <v>310</v>
      </c>
      <c r="B81" s="28" t="s">
        <v>111</v>
      </c>
      <c r="C81" s="28" t="s">
        <v>111</v>
      </c>
      <c r="D81" s="29">
        <v>82858.7</v>
      </c>
      <c r="E81" s="29">
        <v>21185.5</v>
      </c>
      <c r="F81" s="26">
        <v>8667.36009534</v>
      </c>
      <c r="G81" s="26">
        <v>22034682.879999999</v>
      </c>
      <c r="H81" s="29">
        <v>81960</v>
      </c>
      <c r="I81" s="26">
        <v>740111555.10000002</v>
      </c>
      <c r="J81" s="26">
        <v>-51987121.960000001</v>
      </c>
      <c r="K81" s="26">
        <v>-268131.65097900864</v>
      </c>
      <c r="L81" s="26">
        <f t="shared" si="1"/>
        <v>688124433.13999999</v>
      </c>
      <c r="M81" s="26">
        <v>8061.35</v>
      </c>
    </row>
    <row r="82" spans="1:13" x14ac:dyDescent="0.25">
      <c r="A82" s="27" t="s">
        <v>311</v>
      </c>
      <c r="B82" s="28" t="s">
        <v>74</v>
      </c>
      <c r="C82" s="28" t="s">
        <v>112</v>
      </c>
      <c r="D82" s="29">
        <v>178.5</v>
      </c>
      <c r="E82" s="29">
        <v>71</v>
      </c>
      <c r="F82" s="26">
        <v>13981.791360409999</v>
      </c>
      <c r="G82" s="26">
        <v>119124.86</v>
      </c>
      <c r="H82" s="29">
        <v>170</v>
      </c>
      <c r="I82" s="26">
        <v>2614874.62</v>
      </c>
      <c r="J82" s="26">
        <v>-183674.75</v>
      </c>
      <c r="K82" s="26">
        <v>-954.86535690569008</v>
      </c>
      <c r="L82" s="26">
        <f t="shared" si="1"/>
        <v>2431199.87</v>
      </c>
      <c r="M82" s="26">
        <v>8061.35</v>
      </c>
    </row>
    <row r="83" spans="1:13" x14ac:dyDescent="0.25">
      <c r="A83" s="27" t="s">
        <v>312</v>
      </c>
      <c r="B83" s="28" t="s">
        <v>74</v>
      </c>
      <c r="C83" s="28" t="s">
        <v>113</v>
      </c>
      <c r="D83" s="29">
        <v>55.3</v>
      </c>
      <c r="E83" s="29">
        <v>32.299999999999997</v>
      </c>
      <c r="F83" s="26">
        <v>17097.217575400002</v>
      </c>
      <c r="G83" s="26">
        <v>66268.820000000007</v>
      </c>
      <c r="H83" s="29">
        <v>50</v>
      </c>
      <c r="I83" s="26">
        <v>1011744.95</v>
      </c>
      <c r="J83" s="26">
        <v>-71067.27</v>
      </c>
      <c r="K83" s="26">
        <v>-369.45565016273895</v>
      </c>
      <c r="L83" s="26">
        <f t="shared" si="1"/>
        <v>940677.67999999993</v>
      </c>
      <c r="M83" s="26">
        <v>8061.35</v>
      </c>
    </row>
    <row r="84" spans="1:13" x14ac:dyDescent="0.25">
      <c r="A84" s="27" t="s">
        <v>313</v>
      </c>
      <c r="B84" s="28" t="s">
        <v>55</v>
      </c>
      <c r="C84" s="28" t="s">
        <v>114</v>
      </c>
      <c r="D84" s="29">
        <v>161</v>
      </c>
      <c r="E84" s="29">
        <v>52</v>
      </c>
      <c r="F84" s="26">
        <v>14583.842427019999</v>
      </c>
      <c r="G84" s="26">
        <v>91003.18</v>
      </c>
      <c r="H84" s="29">
        <v>140</v>
      </c>
      <c r="I84" s="26">
        <v>2439001.81</v>
      </c>
      <c r="J84" s="26">
        <v>-171321.04</v>
      </c>
      <c r="K84" s="26">
        <v>-890.64244964533498</v>
      </c>
      <c r="L84" s="26">
        <f t="shared" si="1"/>
        <v>2267680.77</v>
      </c>
      <c r="M84" s="26">
        <v>8061.35</v>
      </c>
    </row>
    <row r="85" spans="1:13" x14ac:dyDescent="0.25">
      <c r="A85" s="27" t="s">
        <v>314</v>
      </c>
      <c r="B85" s="28" t="s">
        <v>55</v>
      </c>
      <c r="C85" s="28" t="s">
        <v>115</v>
      </c>
      <c r="D85" s="29">
        <v>119.5</v>
      </c>
      <c r="E85" s="29">
        <v>46.7</v>
      </c>
      <c r="F85" s="26">
        <v>15266.637520640001</v>
      </c>
      <c r="G85" s="26">
        <v>85554.240000000005</v>
      </c>
      <c r="H85" s="29">
        <v>108</v>
      </c>
      <c r="I85" s="26">
        <v>1909917.42</v>
      </c>
      <c r="J85" s="26">
        <v>-134156.95000000001</v>
      </c>
      <c r="K85" s="26">
        <v>-697.43840310651456</v>
      </c>
      <c r="L85" s="26">
        <f t="shared" si="1"/>
        <v>1775760.47</v>
      </c>
      <c r="M85" s="26">
        <v>8061.35</v>
      </c>
    </row>
    <row r="86" spans="1:13" x14ac:dyDescent="0.25">
      <c r="A86" s="27" t="s">
        <v>315</v>
      </c>
      <c r="B86" s="28" t="s">
        <v>55</v>
      </c>
      <c r="C86" s="28" t="s">
        <v>116</v>
      </c>
      <c r="D86" s="29">
        <v>220</v>
      </c>
      <c r="E86" s="29">
        <v>70.2</v>
      </c>
      <c r="F86" s="26">
        <v>12950.758763739999</v>
      </c>
      <c r="G86" s="26">
        <v>109097.19</v>
      </c>
      <c r="H86" s="29">
        <v>205</v>
      </c>
      <c r="I86" s="26">
        <v>2958264.12</v>
      </c>
      <c r="J86" s="26">
        <v>-207795.21</v>
      </c>
      <c r="K86" s="26">
        <v>-1080.2597967419085</v>
      </c>
      <c r="L86" s="26">
        <f t="shared" si="1"/>
        <v>2750468.91</v>
      </c>
      <c r="M86" s="26">
        <v>8061.35</v>
      </c>
    </row>
    <row r="87" spans="1:13" x14ac:dyDescent="0.25">
      <c r="A87" s="27" t="s">
        <v>316</v>
      </c>
      <c r="B87" s="28" t="s">
        <v>55</v>
      </c>
      <c r="C87" s="28" t="s">
        <v>117</v>
      </c>
      <c r="D87" s="29">
        <v>116.5</v>
      </c>
      <c r="E87" s="29">
        <v>57.9</v>
      </c>
      <c r="F87" s="26">
        <v>15814.76721946</v>
      </c>
      <c r="G87" s="26">
        <v>109881</v>
      </c>
      <c r="H87" s="29">
        <v>112</v>
      </c>
      <c r="I87" s="26">
        <v>1952301.38</v>
      </c>
      <c r="J87" s="26">
        <v>-137134.1</v>
      </c>
      <c r="K87" s="26">
        <v>-712.91561588506102</v>
      </c>
      <c r="L87" s="26">
        <f t="shared" si="1"/>
        <v>1815167.2799999998</v>
      </c>
      <c r="M87" s="26">
        <v>8061.35</v>
      </c>
    </row>
    <row r="88" spans="1:13" x14ac:dyDescent="0.25">
      <c r="A88" s="27" t="s">
        <v>317</v>
      </c>
      <c r="B88" s="28" t="s">
        <v>55</v>
      </c>
      <c r="C88" s="28" t="s">
        <v>118</v>
      </c>
      <c r="D88" s="29">
        <v>737.9</v>
      </c>
      <c r="E88" s="29">
        <v>369.7</v>
      </c>
      <c r="F88" s="26">
        <v>8737.5844539000009</v>
      </c>
      <c r="G88" s="26">
        <v>451535.38</v>
      </c>
      <c r="H88" s="29">
        <v>693</v>
      </c>
      <c r="I88" s="26">
        <v>6898998.9500000002</v>
      </c>
      <c r="J88" s="26">
        <v>-484601.41</v>
      </c>
      <c r="K88" s="26">
        <v>-2519.2852599021735</v>
      </c>
      <c r="L88" s="26">
        <f t="shared" si="1"/>
        <v>6414397.54</v>
      </c>
      <c r="M88" s="26">
        <v>8061.35</v>
      </c>
    </row>
    <row r="89" spans="1:13" x14ac:dyDescent="0.25">
      <c r="A89" s="27" t="s">
        <v>318</v>
      </c>
      <c r="B89" s="28" t="s">
        <v>119</v>
      </c>
      <c r="C89" s="28" t="s">
        <v>119</v>
      </c>
      <c r="D89" s="29">
        <v>1045</v>
      </c>
      <c r="E89" s="29">
        <v>376.4</v>
      </c>
      <c r="F89" s="26">
        <v>9010.9533158199993</v>
      </c>
      <c r="G89" s="26">
        <v>408803.8</v>
      </c>
      <c r="H89" s="29">
        <v>1013</v>
      </c>
      <c r="I89" s="26">
        <v>9825250.0199999996</v>
      </c>
      <c r="J89" s="26">
        <v>-690147.95</v>
      </c>
      <c r="K89" s="26">
        <v>-3587.8549542866081</v>
      </c>
      <c r="L89" s="26">
        <f t="shared" si="1"/>
        <v>9135102.0700000003</v>
      </c>
      <c r="M89" s="26">
        <v>8061.35</v>
      </c>
    </row>
    <row r="90" spans="1:13" x14ac:dyDescent="0.25">
      <c r="A90" s="27" t="s">
        <v>319</v>
      </c>
      <c r="B90" s="28" t="s">
        <v>120</v>
      </c>
      <c r="C90" s="28" t="s">
        <v>121</v>
      </c>
      <c r="D90" s="29">
        <v>5866.7</v>
      </c>
      <c r="E90" s="29">
        <v>1612.1</v>
      </c>
      <c r="F90" s="26">
        <v>8772.1917285500003</v>
      </c>
      <c r="G90" s="26">
        <v>1696998.03</v>
      </c>
      <c r="H90" s="29">
        <v>5796</v>
      </c>
      <c r="I90" s="26">
        <v>52846320.710000001</v>
      </c>
      <c r="J90" s="26">
        <v>-3712045.98</v>
      </c>
      <c r="K90" s="26">
        <v>-17799.463884659883</v>
      </c>
      <c r="L90" s="26">
        <f t="shared" si="1"/>
        <v>49134274.730000004</v>
      </c>
      <c r="M90" s="26">
        <v>8061.35</v>
      </c>
    </row>
    <row r="91" spans="1:13" x14ac:dyDescent="0.25">
      <c r="A91" s="27" t="s">
        <v>320</v>
      </c>
      <c r="B91" s="28" t="s">
        <v>120</v>
      </c>
      <c r="C91" s="28" t="s">
        <v>122</v>
      </c>
      <c r="D91" s="29">
        <v>1404.5</v>
      </c>
      <c r="E91" s="29">
        <v>340.3</v>
      </c>
      <c r="F91" s="26">
        <v>9198.5717958900004</v>
      </c>
      <c r="G91" s="26">
        <v>375632.88</v>
      </c>
      <c r="H91" s="29">
        <v>1363</v>
      </c>
      <c r="I91" s="26">
        <v>13286044.68</v>
      </c>
      <c r="J91" s="26">
        <v>-933242.05</v>
      </c>
      <c r="K91" s="26">
        <v>-4851.6222124018523</v>
      </c>
      <c r="L91" s="26">
        <f t="shared" si="1"/>
        <v>12352802.629999999</v>
      </c>
      <c r="M91" s="26">
        <v>8061.35</v>
      </c>
    </row>
    <row r="92" spans="1:13" x14ac:dyDescent="0.25">
      <c r="A92" s="27" t="s">
        <v>321</v>
      </c>
      <c r="B92" s="28" t="s">
        <v>120</v>
      </c>
      <c r="C92" s="28" t="s">
        <v>123</v>
      </c>
      <c r="D92" s="29">
        <v>874.5</v>
      </c>
      <c r="E92" s="29">
        <v>363.4</v>
      </c>
      <c r="F92" s="26">
        <v>9525.53762757</v>
      </c>
      <c r="G92" s="26">
        <v>465327.28</v>
      </c>
      <c r="H92" s="29">
        <v>725</v>
      </c>
      <c r="I92" s="26">
        <v>8749096.6600000001</v>
      </c>
      <c r="J92" s="26">
        <v>-614556.48</v>
      </c>
      <c r="K92" s="26">
        <v>-3194.8794947242964</v>
      </c>
      <c r="L92" s="26">
        <f t="shared" si="1"/>
        <v>8134540.1799999997</v>
      </c>
      <c r="M92" s="26">
        <v>8061.35</v>
      </c>
    </row>
    <row r="93" spans="1:13" x14ac:dyDescent="0.25">
      <c r="A93" s="27" t="s">
        <v>322</v>
      </c>
      <c r="B93" s="28" t="s">
        <v>124</v>
      </c>
      <c r="C93" s="28" t="s">
        <v>125</v>
      </c>
      <c r="D93" s="29">
        <v>31745.8</v>
      </c>
      <c r="E93" s="29">
        <v>7716.1</v>
      </c>
      <c r="F93" s="26">
        <v>8356.4169905800009</v>
      </c>
      <c r="G93" s="26">
        <v>7737473.9000000004</v>
      </c>
      <c r="H93" s="29">
        <v>31866</v>
      </c>
      <c r="I93" s="26">
        <v>275263759.25999999</v>
      </c>
      <c r="J93" s="26">
        <v>-19335153.629999999</v>
      </c>
      <c r="K93" s="26">
        <v>-94741.213300255244</v>
      </c>
      <c r="L93" s="26">
        <f t="shared" si="1"/>
        <v>255928605.63</v>
      </c>
      <c r="M93" s="26">
        <v>8061.35</v>
      </c>
    </row>
    <row r="94" spans="1:13" x14ac:dyDescent="0.25">
      <c r="A94" s="27" t="s">
        <v>323</v>
      </c>
      <c r="B94" s="28" t="s">
        <v>124</v>
      </c>
      <c r="C94" s="28" t="s">
        <v>126</v>
      </c>
      <c r="D94" s="29">
        <v>15544.4</v>
      </c>
      <c r="E94" s="29">
        <v>4717.7</v>
      </c>
      <c r="F94" s="26">
        <v>8345.5869510499997</v>
      </c>
      <c r="G94" s="26">
        <v>4724637.07</v>
      </c>
      <c r="H94" s="29">
        <v>15600</v>
      </c>
      <c r="I94" s="26">
        <v>134822296</v>
      </c>
      <c r="J94" s="26">
        <v>-9470225.2599999998</v>
      </c>
      <c r="K94" s="26">
        <v>-49232.624286878308</v>
      </c>
      <c r="L94" s="26">
        <f t="shared" si="1"/>
        <v>125352070.73999999</v>
      </c>
      <c r="M94" s="26">
        <v>8061.35</v>
      </c>
    </row>
    <row r="95" spans="1:13" x14ac:dyDescent="0.25">
      <c r="A95" s="27" t="s">
        <v>324</v>
      </c>
      <c r="B95" s="28" t="s">
        <v>124</v>
      </c>
      <c r="C95" s="28" t="s">
        <v>127</v>
      </c>
      <c r="D95" s="29">
        <v>1094.0999999999999</v>
      </c>
      <c r="E95" s="29">
        <v>334.1</v>
      </c>
      <c r="F95" s="26">
        <v>9241.6839614799992</v>
      </c>
      <c r="G95" s="26">
        <v>370517.59</v>
      </c>
      <c r="H95" s="29">
        <v>1111</v>
      </c>
      <c r="I95" s="26">
        <v>10481844.01</v>
      </c>
      <c r="J95" s="26">
        <v>-710368.43</v>
      </c>
      <c r="K95" s="26">
        <v>-3837.7936887566279</v>
      </c>
      <c r="L95" s="26">
        <f t="shared" si="1"/>
        <v>9771475.5800000001</v>
      </c>
      <c r="M95" s="26">
        <v>8061.35</v>
      </c>
    </row>
    <row r="96" spans="1:13" x14ac:dyDescent="0.25">
      <c r="A96" s="27" t="s">
        <v>325</v>
      </c>
      <c r="B96" s="28" t="s">
        <v>47</v>
      </c>
      <c r="C96" s="28" t="s">
        <v>128</v>
      </c>
      <c r="D96" s="29">
        <v>1023.3</v>
      </c>
      <c r="E96" s="29">
        <v>529.9</v>
      </c>
      <c r="F96" s="26">
        <v>8866.6438202900008</v>
      </c>
      <c r="G96" s="26">
        <v>716896.26</v>
      </c>
      <c r="H96" s="29">
        <v>881</v>
      </c>
      <c r="I96" s="26">
        <v>9790132.8800000008</v>
      </c>
      <c r="J96" s="26">
        <v>-687681.24</v>
      </c>
      <c r="K96" s="26">
        <v>-3575.0313420119523</v>
      </c>
      <c r="L96" s="26">
        <f t="shared" si="1"/>
        <v>9102451.6400000006</v>
      </c>
      <c r="M96" s="26">
        <v>8061.35</v>
      </c>
    </row>
    <row r="97" spans="1:13" x14ac:dyDescent="0.25">
      <c r="A97" s="27" t="s">
        <v>326</v>
      </c>
      <c r="B97" s="28" t="s">
        <v>47</v>
      </c>
      <c r="C97" s="28" t="s">
        <v>129</v>
      </c>
      <c r="D97" s="29">
        <v>190.5</v>
      </c>
      <c r="E97" s="29">
        <v>93.9</v>
      </c>
      <c r="F97" s="26">
        <v>14166.06529952</v>
      </c>
      <c r="G97" s="26">
        <v>159623.22</v>
      </c>
      <c r="H97" s="29">
        <v>185</v>
      </c>
      <c r="I97" s="26">
        <v>2858258.66</v>
      </c>
      <c r="J97" s="26">
        <v>-200770.6</v>
      </c>
      <c r="K97" s="26">
        <v>-1043.7411239597136</v>
      </c>
      <c r="L97" s="26">
        <f t="shared" si="1"/>
        <v>2657488.06</v>
      </c>
      <c r="M97" s="26">
        <v>8061.35</v>
      </c>
    </row>
    <row r="98" spans="1:13" x14ac:dyDescent="0.25">
      <c r="A98" s="27" t="s">
        <v>327</v>
      </c>
      <c r="B98" s="28" t="s">
        <v>47</v>
      </c>
      <c r="C98" s="28" t="s">
        <v>130</v>
      </c>
      <c r="D98" s="29">
        <v>374</v>
      </c>
      <c r="E98" s="29">
        <v>98.2</v>
      </c>
      <c r="F98" s="26">
        <v>10561.86548</v>
      </c>
      <c r="G98" s="26">
        <v>124461.02</v>
      </c>
      <c r="H98" s="29">
        <v>365</v>
      </c>
      <c r="I98" s="26">
        <v>4074598.71</v>
      </c>
      <c r="J98" s="26">
        <v>-286209.09999999998</v>
      </c>
      <c r="K98" s="26">
        <v>-1487.9081073044224</v>
      </c>
      <c r="L98" s="26">
        <f t="shared" si="1"/>
        <v>3788389.61</v>
      </c>
      <c r="M98" s="26">
        <v>8061.35</v>
      </c>
    </row>
    <row r="99" spans="1:13" x14ac:dyDescent="0.25">
      <c r="A99" s="27" t="s">
        <v>328</v>
      </c>
      <c r="B99" s="28" t="s">
        <v>47</v>
      </c>
      <c r="C99" s="28" t="s">
        <v>131</v>
      </c>
      <c r="D99" s="29">
        <v>117.4</v>
      </c>
      <c r="E99" s="29">
        <v>70</v>
      </c>
      <c r="F99" s="26">
        <v>15765.77583491</v>
      </c>
      <c r="G99" s="26">
        <v>132432.51999999999</v>
      </c>
      <c r="H99" s="29">
        <v>108</v>
      </c>
      <c r="I99" s="26">
        <v>1983334.6</v>
      </c>
      <c r="J99" s="26">
        <v>-139313.94</v>
      </c>
      <c r="K99" s="26">
        <v>-724.24791864289057</v>
      </c>
      <c r="L99" s="26">
        <f t="shared" si="1"/>
        <v>1844020.6600000001</v>
      </c>
      <c r="M99" s="26">
        <v>8061.35</v>
      </c>
    </row>
    <row r="100" spans="1:13" x14ac:dyDescent="0.25">
      <c r="A100" s="27" t="s">
        <v>329</v>
      </c>
      <c r="B100" s="28" t="s">
        <v>47</v>
      </c>
      <c r="C100" s="28" t="s">
        <v>132</v>
      </c>
      <c r="D100" s="29">
        <v>442.2</v>
      </c>
      <c r="E100" s="29">
        <v>119.7</v>
      </c>
      <c r="F100" s="26">
        <v>8907.1203173100002</v>
      </c>
      <c r="G100" s="26">
        <v>127941.88</v>
      </c>
      <c r="H100" s="29">
        <v>431</v>
      </c>
      <c r="I100" s="26">
        <v>3874476.45</v>
      </c>
      <c r="J100" s="26">
        <v>-272152.05</v>
      </c>
      <c r="K100" s="26">
        <v>-1414.830107693316</v>
      </c>
      <c r="L100" s="26">
        <f t="shared" si="1"/>
        <v>3602324.4000000004</v>
      </c>
      <c r="M100" s="26">
        <v>8061.35</v>
      </c>
    </row>
    <row r="101" spans="1:13" x14ac:dyDescent="0.25">
      <c r="A101" s="27" t="s">
        <v>330</v>
      </c>
      <c r="B101" s="28" t="s">
        <v>47</v>
      </c>
      <c r="C101" s="28" t="s">
        <v>133</v>
      </c>
      <c r="D101" s="29">
        <v>50</v>
      </c>
      <c r="E101" s="29">
        <v>18.3</v>
      </c>
      <c r="F101" s="26">
        <v>16827.508913419999</v>
      </c>
      <c r="G101" s="26">
        <v>36953.21</v>
      </c>
      <c r="H101" s="29">
        <v>42</v>
      </c>
      <c r="I101" s="26">
        <v>878328.66</v>
      </c>
      <c r="J101" s="26">
        <v>-61695.81</v>
      </c>
      <c r="K101" s="26">
        <v>-320.73645091802382</v>
      </c>
      <c r="L101" s="26">
        <f t="shared" si="1"/>
        <v>816632.85000000009</v>
      </c>
      <c r="M101" s="26">
        <v>8061.35</v>
      </c>
    </row>
    <row r="102" spans="1:13" x14ac:dyDescent="0.25">
      <c r="A102" s="27" t="s">
        <v>331</v>
      </c>
      <c r="B102" s="28" t="s">
        <v>134</v>
      </c>
      <c r="C102" s="28" t="s">
        <v>135</v>
      </c>
      <c r="D102" s="29">
        <v>200.5</v>
      </c>
      <c r="E102" s="29">
        <v>65</v>
      </c>
      <c r="F102" s="26">
        <v>13881.679413309999</v>
      </c>
      <c r="G102" s="26">
        <v>108277.1</v>
      </c>
      <c r="H102" s="29">
        <v>192</v>
      </c>
      <c r="I102" s="26">
        <v>2891553.82</v>
      </c>
      <c r="J102" s="26">
        <v>-203109.33</v>
      </c>
      <c r="K102" s="26">
        <v>-1055.8994096462277</v>
      </c>
      <c r="L102" s="26">
        <f t="shared" si="1"/>
        <v>2688444.4899999998</v>
      </c>
      <c r="M102" s="26">
        <v>8061.35</v>
      </c>
    </row>
    <row r="103" spans="1:13" x14ac:dyDescent="0.25">
      <c r="A103" s="27" t="s">
        <v>332</v>
      </c>
      <c r="B103" s="28" t="s">
        <v>134</v>
      </c>
      <c r="C103" s="28" t="s">
        <v>136</v>
      </c>
      <c r="D103" s="29">
        <v>501.2</v>
      </c>
      <c r="E103" s="29">
        <v>188.4</v>
      </c>
      <c r="F103" s="26">
        <v>9559.2703854200008</v>
      </c>
      <c r="G103" s="26">
        <v>222930.41</v>
      </c>
      <c r="H103" s="29">
        <v>450</v>
      </c>
      <c r="I103" s="26">
        <v>5012859.46</v>
      </c>
      <c r="J103" s="26">
        <v>-352114.67</v>
      </c>
      <c r="K103" s="26">
        <v>-1830.5297693807811</v>
      </c>
      <c r="L103" s="26">
        <f t="shared" si="1"/>
        <v>4660744.79</v>
      </c>
      <c r="M103" s="26">
        <v>8061.35</v>
      </c>
    </row>
    <row r="104" spans="1:13" x14ac:dyDescent="0.25">
      <c r="A104" s="27" t="s">
        <v>333</v>
      </c>
      <c r="B104" s="28" t="s">
        <v>134</v>
      </c>
      <c r="C104" s="28" t="s">
        <v>137</v>
      </c>
      <c r="D104" s="29">
        <v>50</v>
      </c>
      <c r="E104" s="29">
        <v>19</v>
      </c>
      <c r="F104" s="26">
        <v>17759.226894939999</v>
      </c>
      <c r="G104" s="26">
        <v>40491.040000000001</v>
      </c>
      <c r="H104" s="29">
        <v>45</v>
      </c>
      <c r="I104" s="26">
        <v>928452.38</v>
      </c>
      <c r="J104" s="26">
        <v>-65216.61</v>
      </c>
      <c r="K104" s="26">
        <v>-339.03997025748777</v>
      </c>
      <c r="L104" s="26">
        <f t="shared" si="1"/>
        <v>863235.77</v>
      </c>
      <c r="M104" s="26">
        <v>8061.35</v>
      </c>
    </row>
    <row r="105" spans="1:13" x14ac:dyDescent="0.25">
      <c r="A105" s="27" t="s">
        <v>334</v>
      </c>
      <c r="B105" s="28" t="s">
        <v>138</v>
      </c>
      <c r="C105" s="28" t="s">
        <v>139</v>
      </c>
      <c r="D105" s="29">
        <v>2188.5</v>
      </c>
      <c r="E105" s="29">
        <v>876.6</v>
      </c>
      <c r="F105" s="26">
        <v>8376.7896831500002</v>
      </c>
      <c r="G105" s="26">
        <v>912265.91</v>
      </c>
      <c r="H105" s="29">
        <v>2071</v>
      </c>
      <c r="I105" s="26">
        <v>19244870.129999999</v>
      </c>
      <c r="J105" s="26">
        <v>-1351803.53</v>
      </c>
      <c r="K105" s="26">
        <v>-7027.5873390640973</v>
      </c>
      <c r="L105" s="26">
        <f t="shared" si="1"/>
        <v>17893066.599999998</v>
      </c>
      <c r="M105" s="26">
        <v>8061.35</v>
      </c>
    </row>
    <row r="106" spans="1:13" x14ac:dyDescent="0.25">
      <c r="A106" s="27" t="s">
        <v>335</v>
      </c>
      <c r="B106" s="28" t="s">
        <v>138</v>
      </c>
      <c r="C106" s="28" t="s">
        <v>140</v>
      </c>
      <c r="D106" s="29">
        <v>197.5</v>
      </c>
      <c r="E106" s="29">
        <v>53.8</v>
      </c>
      <c r="F106" s="26">
        <v>14049.90790552</v>
      </c>
      <c r="G106" s="26">
        <v>90706.21</v>
      </c>
      <c r="H106" s="29">
        <v>190</v>
      </c>
      <c r="I106" s="26">
        <v>2865563.02</v>
      </c>
      <c r="J106" s="26">
        <v>-201283.68</v>
      </c>
      <c r="K106" s="26">
        <v>-1046.408431605237</v>
      </c>
      <c r="L106" s="26">
        <f t="shared" si="1"/>
        <v>2664279.34</v>
      </c>
      <c r="M106" s="26">
        <v>8061.35</v>
      </c>
    </row>
    <row r="107" spans="1:13" x14ac:dyDescent="0.25">
      <c r="A107" s="27" t="s">
        <v>336</v>
      </c>
      <c r="B107" s="28" t="s">
        <v>138</v>
      </c>
      <c r="C107" s="28" t="s">
        <v>141</v>
      </c>
      <c r="D107" s="29">
        <v>308.89999999999998</v>
      </c>
      <c r="E107" s="29">
        <v>63.9</v>
      </c>
      <c r="F107" s="26">
        <v>11637.615008459999</v>
      </c>
      <c r="G107" s="26">
        <v>89237.23</v>
      </c>
      <c r="H107" s="29">
        <v>302</v>
      </c>
      <c r="I107" s="26">
        <v>3684096.51</v>
      </c>
      <c r="J107" s="26">
        <v>-258779.33</v>
      </c>
      <c r="K107" s="26">
        <v>-1345.3096769028255</v>
      </c>
      <c r="L107" s="26">
        <f t="shared" si="1"/>
        <v>3425317.1799999997</v>
      </c>
      <c r="M107" s="26">
        <v>8061.35</v>
      </c>
    </row>
    <row r="108" spans="1:13" x14ac:dyDescent="0.25">
      <c r="A108" s="27" t="s">
        <v>337</v>
      </c>
      <c r="B108" s="28" t="s">
        <v>138</v>
      </c>
      <c r="C108" s="28" t="s">
        <v>142</v>
      </c>
      <c r="D108" s="29">
        <v>158</v>
      </c>
      <c r="E108" s="29">
        <v>25.9</v>
      </c>
      <c r="F108" s="26">
        <v>15302.429306939999</v>
      </c>
      <c r="G108" s="26">
        <v>47559.95</v>
      </c>
      <c r="H108" s="29">
        <v>148</v>
      </c>
      <c r="I108" s="26">
        <v>2465343.7799999998</v>
      </c>
      <c r="J108" s="26">
        <v>-173171.36</v>
      </c>
      <c r="K108" s="26">
        <v>-900.26166212022667</v>
      </c>
      <c r="L108" s="26">
        <f t="shared" si="1"/>
        <v>2292172.42</v>
      </c>
      <c r="M108" s="26">
        <v>8061.35</v>
      </c>
    </row>
    <row r="109" spans="1:13" x14ac:dyDescent="0.25">
      <c r="A109" s="27" t="s">
        <v>338</v>
      </c>
      <c r="B109" s="28" t="s">
        <v>143</v>
      </c>
      <c r="C109" s="28" t="s">
        <v>144</v>
      </c>
      <c r="D109" s="29">
        <v>164.3</v>
      </c>
      <c r="E109" s="29">
        <v>52</v>
      </c>
      <c r="F109" s="26">
        <v>15054.73938447</v>
      </c>
      <c r="G109" s="26">
        <v>93941.57</v>
      </c>
      <c r="H109" s="29">
        <v>148</v>
      </c>
      <c r="I109" s="26">
        <v>2567435.25</v>
      </c>
      <c r="J109" s="26">
        <v>-180342.5</v>
      </c>
      <c r="K109" s="26">
        <v>-937.54207493262777</v>
      </c>
      <c r="L109" s="26">
        <f t="shared" si="1"/>
        <v>2387092.75</v>
      </c>
      <c r="M109" s="26">
        <v>8061.35</v>
      </c>
    </row>
    <row r="110" spans="1:13" x14ac:dyDescent="0.25">
      <c r="A110" s="27" t="s">
        <v>339</v>
      </c>
      <c r="B110" s="28" t="s">
        <v>143</v>
      </c>
      <c r="C110" s="28" t="s">
        <v>145</v>
      </c>
      <c r="D110" s="29">
        <v>430.5</v>
      </c>
      <c r="E110" s="29">
        <v>111.1</v>
      </c>
      <c r="F110" s="26">
        <v>10009.465415000001</v>
      </c>
      <c r="G110" s="26">
        <v>133446.19</v>
      </c>
      <c r="H110" s="29">
        <v>382</v>
      </c>
      <c r="I110" s="26">
        <v>4442521.05</v>
      </c>
      <c r="J110" s="26">
        <v>-312052.8</v>
      </c>
      <c r="K110" s="26">
        <v>-1622.2611264469469</v>
      </c>
      <c r="L110" s="26">
        <f t="shared" si="1"/>
        <v>4130468.25</v>
      </c>
      <c r="M110" s="26">
        <v>8061.35</v>
      </c>
    </row>
    <row r="111" spans="1:13" x14ac:dyDescent="0.25">
      <c r="A111" s="27" t="s">
        <v>340</v>
      </c>
      <c r="B111" s="28" t="s">
        <v>143</v>
      </c>
      <c r="C111" s="28" t="s">
        <v>146</v>
      </c>
      <c r="D111" s="29">
        <v>22338.6</v>
      </c>
      <c r="E111" s="29">
        <v>8108.5</v>
      </c>
      <c r="F111" s="26">
        <v>8090.1361671799996</v>
      </c>
      <c r="G111" s="26">
        <v>7899123.2000000002</v>
      </c>
      <c r="H111" s="29">
        <v>22003</v>
      </c>
      <c r="I111" s="26">
        <v>193753176.44</v>
      </c>
      <c r="J111" s="26">
        <v>-13609664.58</v>
      </c>
      <c r="K111" s="26">
        <v>-67880.805527247314</v>
      </c>
      <c r="L111" s="26">
        <f t="shared" si="1"/>
        <v>180143511.85999998</v>
      </c>
      <c r="M111" s="26">
        <v>8061.35</v>
      </c>
    </row>
    <row r="112" spans="1:13" x14ac:dyDescent="0.25">
      <c r="A112" s="27" t="s">
        <v>341</v>
      </c>
      <c r="B112" s="28" t="s">
        <v>147</v>
      </c>
      <c r="C112" s="28" t="s">
        <v>148</v>
      </c>
      <c r="D112" s="29">
        <v>92.3</v>
      </c>
      <c r="E112" s="29">
        <v>26</v>
      </c>
      <c r="F112" s="26">
        <v>17456.141923499999</v>
      </c>
      <c r="G112" s="26">
        <v>54463.16</v>
      </c>
      <c r="H112" s="29">
        <v>81</v>
      </c>
      <c r="I112" s="26">
        <v>1665665.06</v>
      </c>
      <c r="J112" s="26">
        <v>-117000.11</v>
      </c>
      <c r="K112" s="26">
        <v>-608.24555334032755</v>
      </c>
      <c r="L112" s="26">
        <f t="shared" si="1"/>
        <v>1548664.95</v>
      </c>
      <c r="M112" s="26">
        <v>8061.35</v>
      </c>
    </row>
    <row r="113" spans="1:13" x14ac:dyDescent="0.25">
      <c r="A113" s="27" t="s">
        <v>342</v>
      </c>
      <c r="B113" s="28" t="s">
        <v>149</v>
      </c>
      <c r="C113" s="28" t="s">
        <v>149</v>
      </c>
      <c r="D113" s="29">
        <v>2141.4</v>
      </c>
      <c r="E113" s="29">
        <v>727.9</v>
      </c>
      <c r="F113" s="26">
        <v>8238.0478896700006</v>
      </c>
      <c r="G113" s="26">
        <v>720463.42</v>
      </c>
      <c r="H113" s="29">
        <v>2026</v>
      </c>
      <c r="I113" s="26">
        <v>18574053.91</v>
      </c>
      <c r="J113" s="26">
        <v>-1304683.8700000001</v>
      </c>
      <c r="K113" s="26">
        <v>-6782.627537233715</v>
      </c>
      <c r="L113" s="26">
        <f t="shared" si="1"/>
        <v>17269370.039999999</v>
      </c>
      <c r="M113" s="26">
        <v>8061.35</v>
      </c>
    </row>
    <row r="114" spans="1:13" x14ac:dyDescent="0.25">
      <c r="A114" s="27" t="s">
        <v>343</v>
      </c>
      <c r="B114" s="28" t="s">
        <v>150</v>
      </c>
      <c r="C114" s="28" t="s">
        <v>150</v>
      </c>
      <c r="D114" s="29">
        <v>2767</v>
      </c>
      <c r="E114" s="29">
        <v>1494.5</v>
      </c>
      <c r="F114" s="26">
        <v>8208.8762167500008</v>
      </c>
      <c r="G114" s="26">
        <v>1776091.01</v>
      </c>
      <c r="H114" s="29">
        <v>2663</v>
      </c>
      <c r="I114" s="26">
        <v>24490570.870000001</v>
      </c>
      <c r="J114" s="26">
        <v>-1720273.5</v>
      </c>
      <c r="K114" s="26">
        <v>-8943.1430107199467</v>
      </c>
      <c r="L114" s="26">
        <f t="shared" si="1"/>
        <v>22770297.370000001</v>
      </c>
      <c r="M114" s="26">
        <v>8061.35</v>
      </c>
    </row>
    <row r="115" spans="1:13" x14ac:dyDescent="0.25">
      <c r="A115" s="27" t="s">
        <v>344</v>
      </c>
      <c r="B115" s="28" t="s">
        <v>150</v>
      </c>
      <c r="C115" s="28" t="s">
        <v>69</v>
      </c>
      <c r="D115" s="29">
        <v>690.1</v>
      </c>
      <c r="E115" s="29">
        <v>240.5</v>
      </c>
      <c r="F115" s="26">
        <v>9367.2381097899997</v>
      </c>
      <c r="G115" s="26">
        <v>272314.96999999997</v>
      </c>
      <c r="H115" s="29">
        <v>634</v>
      </c>
      <c r="I115" s="26">
        <v>6735660.75</v>
      </c>
      <c r="J115" s="26">
        <v>-473128.16</v>
      </c>
      <c r="K115" s="26">
        <v>-2459.6395756980132</v>
      </c>
      <c r="L115" s="26">
        <f t="shared" si="1"/>
        <v>6262532.5899999999</v>
      </c>
      <c r="M115" s="26">
        <v>8061.35</v>
      </c>
    </row>
    <row r="116" spans="1:13" x14ac:dyDescent="0.25">
      <c r="A116" s="27" t="s">
        <v>345</v>
      </c>
      <c r="B116" s="28" t="s">
        <v>150</v>
      </c>
      <c r="C116" s="28" t="s">
        <v>151</v>
      </c>
      <c r="D116" s="29">
        <v>481.5</v>
      </c>
      <c r="E116" s="29">
        <v>217.8</v>
      </c>
      <c r="F116" s="26">
        <v>9618.7370276099991</v>
      </c>
      <c r="G116" s="26">
        <v>271788</v>
      </c>
      <c r="H116" s="29">
        <v>464</v>
      </c>
      <c r="I116" s="26">
        <v>4903209.88</v>
      </c>
      <c r="J116" s="26">
        <v>-344412.63</v>
      </c>
      <c r="K116" s="26">
        <v>-1790.4893862888896</v>
      </c>
      <c r="L116" s="26">
        <f t="shared" si="1"/>
        <v>4558797.25</v>
      </c>
      <c r="M116" s="26">
        <v>8061.35</v>
      </c>
    </row>
    <row r="117" spans="1:13" x14ac:dyDescent="0.25">
      <c r="A117" s="27" t="s">
        <v>346</v>
      </c>
      <c r="B117" s="28" t="s">
        <v>152</v>
      </c>
      <c r="C117" s="28" t="s">
        <v>152</v>
      </c>
      <c r="D117" s="29">
        <v>5998.9</v>
      </c>
      <c r="E117" s="29">
        <v>2430.4</v>
      </c>
      <c r="F117" s="26">
        <v>8584.1599092500001</v>
      </c>
      <c r="G117" s="26">
        <v>2569048.58</v>
      </c>
      <c r="H117" s="29">
        <v>5905</v>
      </c>
      <c r="I117" s="26">
        <v>54064565.460000001</v>
      </c>
      <c r="J117" s="26">
        <v>-3797618.26</v>
      </c>
      <c r="K117" s="26">
        <v>-19742.583516462379</v>
      </c>
      <c r="L117" s="26">
        <f t="shared" si="1"/>
        <v>50266947.200000003</v>
      </c>
      <c r="M117" s="26">
        <v>8061.35</v>
      </c>
    </row>
    <row r="118" spans="1:13" x14ac:dyDescent="0.25">
      <c r="A118" s="27" t="s">
        <v>347</v>
      </c>
      <c r="B118" s="28" t="s">
        <v>152</v>
      </c>
      <c r="C118" s="28" t="s">
        <v>153</v>
      </c>
      <c r="D118" s="29">
        <v>267.2</v>
      </c>
      <c r="E118" s="29">
        <v>98.3</v>
      </c>
      <c r="F118" s="26">
        <v>13371.737681279999</v>
      </c>
      <c r="G118" s="26">
        <v>157733.01999999999</v>
      </c>
      <c r="H118" s="29">
        <v>235</v>
      </c>
      <c r="I118" s="26">
        <v>3730661.33</v>
      </c>
      <c r="J118" s="26">
        <v>-262050.15</v>
      </c>
      <c r="K118" s="26">
        <v>-1362.3136021135797</v>
      </c>
      <c r="L118" s="26">
        <f t="shared" si="1"/>
        <v>3468611.18</v>
      </c>
      <c r="M118" s="26">
        <v>8061.35</v>
      </c>
    </row>
    <row r="119" spans="1:13" x14ac:dyDescent="0.25">
      <c r="A119" s="27" t="s">
        <v>348</v>
      </c>
      <c r="B119" s="28" t="s">
        <v>154</v>
      </c>
      <c r="C119" s="28" t="s">
        <v>155</v>
      </c>
      <c r="D119" s="29">
        <v>1488.2</v>
      </c>
      <c r="E119" s="29">
        <v>628.79999999999995</v>
      </c>
      <c r="F119" s="26">
        <v>8845.5163725799994</v>
      </c>
      <c r="G119" s="26">
        <v>719545.07</v>
      </c>
      <c r="H119" s="29">
        <v>1347</v>
      </c>
      <c r="I119" s="26">
        <v>13883442.539999999</v>
      </c>
      <c r="J119" s="26">
        <v>-975204.64</v>
      </c>
      <c r="K119" s="26">
        <v>-5069.772066665606</v>
      </c>
      <c r="L119" s="26">
        <f t="shared" si="1"/>
        <v>12908237.899999999</v>
      </c>
      <c r="M119" s="26">
        <v>8061.35</v>
      </c>
    </row>
    <row r="120" spans="1:13" x14ac:dyDescent="0.25">
      <c r="A120" s="27" t="s">
        <v>349</v>
      </c>
      <c r="B120" s="28" t="s">
        <v>154</v>
      </c>
      <c r="C120" s="28" t="s">
        <v>156</v>
      </c>
      <c r="D120" s="29">
        <v>3326.5</v>
      </c>
      <c r="E120" s="29">
        <v>1963.1</v>
      </c>
      <c r="F120" s="26">
        <v>8440.7791240799997</v>
      </c>
      <c r="G120" s="26">
        <v>2530471.2200000002</v>
      </c>
      <c r="H120" s="29">
        <v>3260</v>
      </c>
      <c r="I120" s="26">
        <v>30608722.98</v>
      </c>
      <c r="J120" s="26">
        <v>-2150026.44</v>
      </c>
      <c r="K120" s="26">
        <v>-11177.288944465856</v>
      </c>
      <c r="L120" s="26">
        <f t="shared" si="1"/>
        <v>28458696.539999999</v>
      </c>
      <c r="M120" s="26">
        <v>8061.35</v>
      </c>
    </row>
    <row r="121" spans="1:13" x14ac:dyDescent="0.25">
      <c r="A121" s="27" t="s">
        <v>350</v>
      </c>
      <c r="B121" s="28" t="s">
        <v>154</v>
      </c>
      <c r="C121" s="28" t="s">
        <v>157</v>
      </c>
      <c r="D121" s="29">
        <v>205.4</v>
      </c>
      <c r="E121" s="29">
        <v>37.4</v>
      </c>
      <c r="F121" s="26">
        <v>14363.953198810001</v>
      </c>
      <c r="G121" s="26">
        <v>64465.42</v>
      </c>
      <c r="H121" s="29">
        <v>195</v>
      </c>
      <c r="I121" s="26">
        <v>3014821.41</v>
      </c>
      <c r="J121" s="26">
        <v>-211767.93</v>
      </c>
      <c r="K121" s="26">
        <v>-1100.912637678751</v>
      </c>
      <c r="L121" s="26">
        <f t="shared" si="1"/>
        <v>2803053.48</v>
      </c>
      <c r="M121" s="26">
        <v>8061.35</v>
      </c>
    </row>
    <row r="122" spans="1:13" x14ac:dyDescent="0.25">
      <c r="A122" s="27" t="s">
        <v>351</v>
      </c>
      <c r="B122" s="28" t="s">
        <v>154</v>
      </c>
      <c r="C122" s="28" t="s">
        <v>158</v>
      </c>
      <c r="D122" s="29">
        <v>688</v>
      </c>
      <c r="E122" s="29">
        <v>181</v>
      </c>
      <c r="F122" s="26">
        <v>9459.8462325599994</v>
      </c>
      <c r="G122" s="26">
        <v>205467.86</v>
      </c>
      <c r="H122" s="29">
        <v>649</v>
      </c>
      <c r="I122" s="26">
        <v>6713842.0700000003</v>
      </c>
      <c r="J122" s="26">
        <v>-471595.56</v>
      </c>
      <c r="K122" s="26">
        <v>-2451.6721209204607</v>
      </c>
      <c r="L122" s="26">
        <f t="shared" si="1"/>
        <v>6242246.5100000007</v>
      </c>
      <c r="M122" s="26">
        <v>8061.35</v>
      </c>
    </row>
    <row r="123" spans="1:13" x14ac:dyDescent="0.25">
      <c r="A123" s="27" t="s">
        <v>352</v>
      </c>
      <c r="B123" s="28" t="s">
        <v>159</v>
      </c>
      <c r="C123" s="28" t="s">
        <v>160</v>
      </c>
      <c r="D123" s="29">
        <v>1475</v>
      </c>
      <c r="E123" s="29">
        <v>1046.9000000000001</v>
      </c>
      <c r="F123" s="26">
        <v>8563.0663298199997</v>
      </c>
      <c r="G123" s="26">
        <v>1632178.59</v>
      </c>
      <c r="H123" s="29">
        <v>1422</v>
      </c>
      <c r="I123" s="26">
        <v>14262701.43</v>
      </c>
      <c r="J123" s="26">
        <v>-1001844.65</v>
      </c>
      <c r="K123" s="26">
        <v>-5208.2648153933715</v>
      </c>
      <c r="L123" s="26">
        <f t="shared" si="1"/>
        <v>13260856.779999999</v>
      </c>
      <c r="M123" s="26">
        <v>8061.35</v>
      </c>
    </row>
    <row r="124" spans="1:13" x14ac:dyDescent="0.25">
      <c r="A124" s="27" t="s">
        <v>353</v>
      </c>
      <c r="B124" s="28" t="s">
        <v>159</v>
      </c>
      <c r="C124" s="28" t="s">
        <v>161</v>
      </c>
      <c r="D124" s="29">
        <v>813.9</v>
      </c>
      <c r="E124" s="29">
        <v>501.7</v>
      </c>
      <c r="F124" s="26">
        <v>8995.4160983500005</v>
      </c>
      <c r="G124" s="26">
        <v>758947.58</v>
      </c>
      <c r="H124" s="29">
        <v>743</v>
      </c>
      <c r="I124" s="26">
        <v>8080316.7400000002</v>
      </c>
      <c r="J124" s="26">
        <v>-567579.86</v>
      </c>
      <c r="K124" s="26">
        <v>-2950.6632797984394</v>
      </c>
      <c r="L124" s="26">
        <f t="shared" si="1"/>
        <v>7512736.8799999999</v>
      </c>
      <c r="M124" s="26">
        <v>8061.35</v>
      </c>
    </row>
    <row r="125" spans="1:13" x14ac:dyDescent="0.25">
      <c r="A125" s="27" t="s">
        <v>354</v>
      </c>
      <c r="B125" s="28" t="s">
        <v>159</v>
      </c>
      <c r="C125" s="28" t="s">
        <v>162</v>
      </c>
      <c r="D125" s="29">
        <v>167</v>
      </c>
      <c r="E125" s="29">
        <v>103</v>
      </c>
      <c r="F125" s="26">
        <v>15031.80688337</v>
      </c>
      <c r="G125" s="26">
        <v>185793.13</v>
      </c>
      <c r="H125" s="29">
        <v>167</v>
      </c>
      <c r="I125" s="26">
        <v>2696104.88</v>
      </c>
      <c r="J125" s="26">
        <v>-189380.55</v>
      </c>
      <c r="K125" s="26">
        <v>-984.5279491684189</v>
      </c>
      <c r="L125" s="26">
        <f t="shared" si="1"/>
        <v>2506724.33</v>
      </c>
      <c r="M125" s="26">
        <v>8061.35</v>
      </c>
    </row>
    <row r="126" spans="1:13" x14ac:dyDescent="0.25">
      <c r="A126" s="27" t="s">
        <v>355</v>
      </c>
      <c r="B126" s="28" t="s">
        <v>159</v>
      </c>
      <c r="C126" s="28" t="s">
        <v>163</v>
      </c>
      <c r="D126" s="29">
        <v>391.5</v>
      </c>
      <c r="E126" s="29">
        <v>152.4</v>
      </c>
      <c r="F126" s="26">
        <v>10346.023407320001</v>
      </c>
      <c r="G126" s="26">
        <v>189208.08</v>
      </c>
      <c r="H126" s="29">
        <v>359</v>
      </c>
      <c r="I126" s="26">
        <v>4239676.24</v>
      </c>
      <c r="J126" s="26">
        <v>-297804.52</v>
      </c>
      <c r="K126" s="26">
        <v>-1548.1889388198454</v>
      </c>
      <c r="L126" s="26">
        <f t="shared" si="1"/>
        <v>3941871.72</v>
      </c>
      <c r="M126" s="26">
        <v>8061.35</v>
      </c>
    </row>
    <row r="127" spans="1:13" x14ac:dyDescent="0.25">
      <c r="A127" s="27" t="s">
        <v>356</v>
      </c>
      <c r="B127" s="28" t="s">
        <v>159</v>
      </c>
      <c r="C127" s="28" t="s">
        <v>164</v>
      </c>
      <c r="D127" s="29">
        <v>222.5</v>
      </c>
      <c r="E127" s="29">
        <v>59.5</v>
      </c>
      <c r="F127" s="26">
        <v>13334.118589260001</v>
      </c>
      <c r="G127" s="26">
        <v>95205.61</v>
      </c>
      <c r="H127" s="29">
        <v>209</v>
      </c>
      <c r="I127" s="26">
        <v>3062047</v>
      </c>
      <c r="J127" s="26">
        <v>-215085.16</v>
      </c>
      <c r="K127" s="26">
        <v>-1118.1578557128171</v>
      </c>
      <c r="L127" s="26">
        <f t="shared" si="1"/>
        <v>2846961.84</v>
      </c>
      <c r="M127" s="26">
        <v>8061.35</v>
      </c>
    </row>
    <row r="128" spans="1:13" x14ac:dyDescent="0.25">
      <c r="A128" s="27" t="s">
        <v>357</v>
      </c>
      <c r="B128" s="28" t="s">
        <v>159</v>
      </c>
      <c r="C128" s="28" t="s">
        <v>165</v>
      </c>
      <c r="D128" s="29">
        <v>356.5</v>
      </c>
      <c r="E128" s="29">
        <v>113</v>
      </c>
      <c r="F128" s="26">
        <v>10865.65782113</v>
      </c>
      <c r="G128" s="26">
        <v>147338.32</v>
      </c>
      <c r="H128" s="29">
        <v>321</v>
      </c>
      <c r="I128" s="26">
        <v>4020945.33</v>
      </c>
      <c r="J128" s="26">
        <v>-282440.36</v>
      </c>
      <c r="K128" s="26">
        <v>-1468.3156767661171</v>
      </c>
      <c r="L128" s="26">
        <f t="shared" si="1"/>
        <v>3738504.97</v>
      </c>
      <c r="M128" s="26">
        <v>8061.35</v>
      </c>
    </row>
    <row r="129" spans="1:13" x14ac:dyDescent="0.25">
      <c r="A129" s="27" t="s">
        <v>358</v>
      </c>
      <c r="B129" s="28" t="s">
        <v>166</v>
      </c>
      <c r="C129" s="28" t="s">
        <v>166</v>
      </c>
      <c r="D129" s="29">
        <v>168.3</v>
      </c>
      <c r="E129" s="29">
        <v>44.8</v>
      </c>
      <c r="F129" s="26">
        <v>16930.88839606</v>
      </c>
      <c r="G129" s="26">
        <v>91020.46</v>
      </c>
      <c r="H129" s="29">
        <v>155</v>
      </c>
      <c r="I129" s="26">
        <v>2940488.98</v>
      </c>
      <c r="J129" s="26">
        <v>-206546.65</v>
      </c>
      <c r="K129" s="26">
        <v>-1073.7689035393967</v>
      </c>
      <c r="L129" s="26">
        <f t="shared" si="1"/>
        <v>2733942.33</v>
      </c>
      <c r="M129" s="26">
        <v>8061.35</v>
      </c>
    </row>
    <row r="130" spans="1:13" x14ac:dyDescent="0.25">
      <c r="A130" s="27" t="s">
        <v>359</v>
      </c>
      <c r="B130" s="28" t="s">
        <v>166</v>
      </c>
      <c r="C130" s="28" t="s">
        <v>167</v>
      </c>
      <c r="D130" s="29">
        <v>336.3</v>
      </c>
      <c r="E130" s="29">
        <v>48.9</v>
      </c>
      <c r="F130" s="26">
        <v>12381.025591240001</v>
      </c>
      <c r="G130" s="26">
        <v>72651.86</v>
      </c>
      <c r="H130" s="29">
        <v>330</v>
      </c>
      <c r="I130" s="26">
        <v>4236390.7699999996</v>
      </c>
      <c r="J130" s="26">
        <v>-297573.74</v>
      </c>
      <c r="K130" s="26">
        <v>-1546.9891947374772</v>
      </c>
      <c r="L130" s="26">
        <f t="shared" si="1"/>
        <v>3938817.0299999993</v>
      </c>
      <c r="M130" s="26">
        <v>8061.35</v>
      </c>
    </row>
    <row r="131" spans="1:13" x14ac:dyDescent="0.25">
      <c r="A131" s="27" t="s">
        <v>360</v>
      </c>
      <c r="B131" s="28" t="s">
        <v>168</v>
      </c>
      <c r="C131" s="28" t="s">
        <v>169</v>
      </c>
      <c r="D131" s="29">
        <v>896.8</v>
      </c>
      <c r="E131" s="29">
        <v>142.1</v>
      </c>
      <c r="F131" s="26">
        <v>9569.1270418999993</v>
      </c>
      <c r="G131" s="26">
        <v>163172.75</v>
      </c>
      <c r="H131" s="29">
        <v>799</v>
      </c>
      <c r="I131" s="26">
        <v>8743578.75</v>
      </c>
      <c r="J131" s="26">
        <v>-614168.89</v>
      </c>
      <c r="K131" s="26">
        <v>-3192.8645370491631</v>
      </c>
      <c r="L131" s="26">
        <f t="shared" si="1"/>
        <v>8129409.8600000003</v>
      </c>
      <c r="M131" s="26">
        <v>8061.35</v>
      </c>
    </row>
    <row r="132" spans="1:13" x14ac:dyDescent="0.25">
      <c r="A132" s="27" t="s">
        <v>361</v>
      </c>
      <c r="B132" s="28" t="s">
        <v>168</v>
      </c>
      <c r="C132" s="28" t="s">
        <v>168</v>
      </c>
      <c r="D132" s="29">
        <v>650.29999999999995</v>
      </c>
      <c r="E132" s="29">
        <v>211</v>
      </c>
      <c r="F132" s="26">
        <v>9811.1797708600006</v>
      </c>
      <c r="G132" s="26">
        <v>248419.07</v>
      </c>
      <c r="H132" s="29">
        <v>623</v>
      </c>
      <c r="I132" s="26">
        <v>6628629.2699999996</v>
      </c>
      <c r="J132" s="26">
        <v>-465610.02</v>
      </c>
      <c r="K132" s="26">
        <v>-2420.5552362784092</v>
      </c>
      <c r="L132" s="26">
        <f t="shared" si="1"/>
        <v>6163019.25</v>
      </c>
      <c r="M132" s="26">
        <v>8061.35</v>
      </c>
    </row>
    <row r="133" spans="1:13" x14ac:dyDescent="0.25">
      <c r="A133" s="27" t="s">
        <v>362</v>
      </c>
      <c r="B133" s="28" t="s">
        <v>170</v>
      </c>
      <c r="C133" s="28" t="s">
        <v>171</v>
      </c>
      <c r="D133" s="29">
        <v>608.5</v>
      </c>
      <c r="E133" s="29">
        <v>293.7</v>
      </c>
      <c r="F133" s="26">
        <v>9210.4400091700008</v>
      </c>
      <c r="G133" s="26">
        <v>363248.51</v>
      </c>
      <c r="H133" s="29">
        <v>587</v>
      </c>
      <c r="I133" s="26">
        <v>5967801.2599999998</v>
      </c>
      <c r="J133" s="26">
        <v>-419191.96</v>
      </c>
      <c r="K133" s="26">
        <v>-2179.242794865208</v>
      </c>
      <c r="L133" s="26">
        <f t="shared" ref="L133:L183" si="2">I133+J133</f>
        <v>5548609.2999999998</v>
      </c>
      <c r="M133" s="26">
        <v>8061.35</v>
      </c>
    </row>
    <row r="134" spans="1:13" x14ac:dyDescent="0.25">
      <c r="A134" s="27" t="s">
        <v>363</v>
      </c>
      <c r="B134" s="28" t="s">
        <v>170</v>
      </c>
      <c r="C134" s="28" t="s">
        <v>172</v>
      </c>
      <c r="D134" s="29">
        <v>324.5</v>
      </c>
      <c r="E134" s="29">
        <v>77.099999999999994</v>
      </c>
      <c r="F134" s="26">
        <v>10794.38429011</v>
      </c>
      <c r="G134" s="26">
        <v>99869.64</v>
      </c>
      <c r="H134" s="29">
        <v>304</v>
      </c>
      <c r="I134" s="26">
        <v>3602647.34</v>
      </c>
      <c r="J134" s="26">
        <v>-253058.16</v>
      </c>
      <c r="K134" s="26">
        <v>-1315.5671433332782</v>
      </c>
      <c r="L134" s="26">
        <f t="shared" si="2"/>
        <v>3349589.1799999997</v>
      </c>
      <c r="M134" s="26">
        <v>8061.35</v>
      </c>
    </row>
    <row r="135" spans="1:13" x14ac:dyDescent="0.25">
      <c r="A135" s="27" t="s">
        <v>364</v>
      </c>
      <c r="B135" s="28" t="s">
        <v>173</v>
      </c>
      <c r="C135" s="28" t="s">
        <v>174</v>
      </c>
      <c r="D135" s="29">
        <v>1683</v>
      </c>
      <c r="E135" s="29">
        <v>46</v>
      </c>
      <c r="F135" s="26">
        <v>11771.62219027</v>
      </c>
      <c r="G135" s="26">
        <v>64979.35</v>
      </c>
      <c r="H135" s="29">
        <v>1629</v>
      </c>
      <c r="I135" s="26">
        <v>19876619.5</v>
      </c>
      <c r="J135" s="26">
        <v>-1396179.04</v>
      </c>
      <c r="K135" s="26">
        <v>-7258.2812270437698</v>
      </c>
      <c r="L135" s="26">
        <f t="shared" si="2"/>
        <v>18480440.460000001</v>
      </c>
      <c r="M135" s="26">
        <v>8061.35</v>
      </c>
    </row>
    <row r="136" spans="1:13" x14ac:dyDescent="0.25">
      <c r="A136" s="27" t="s">
        <v>365</v>
      </c>
      <c r="B136" s="28" t="s">
        <v>175</v>
      </c>
      <c r="C136" s="28" t="s">
        <v>176</v>
      </c>
      <c r="D136" s="29">
        <v>196.9</v>
      </c>
      <c r="E136" s="29">
        <v>105.9</v>
      </c>
      <c r="F136" s="26">
        <v>13569.386844729999</v>
      </c>
      <c r="G136" s="26">
        <v>172439.77</v>
      </c>
      <c r="H136" s="29">
        <v>180</v>
      </c>
      <c r="I136" s="26">
        <v>2828689.88</v>
      </c>
      <c r="J136" s="26">
        <v>-198693.62</v>
      </c>
      <c r="K136" s="26">
        <v>-1032.9435882478595</v>
      </c>
      <c r="L136" s="26">
        <f t="shared" si="2"/>
        <v>2629996.2599999998</v>
      </c>
      <c r="M136" s="26">
        <v>8061.35</v>
      </c>
    </row>
    <row r="137" spans="1:13" x14ac:dyDescent="0.25">
      <c r="A137" s="27" t="s">
        <v>366</v>
      </c>
      <c r="B137" s="28" t="s">
        <v>175</v>
      </c>
      <c r="C137" s="28" t="s">
        <v>177</v>
      </c>
      <c r="D137" s="29">
        <v>1536.5</v>
      </c>
      <c r="E137" s="29">
        <v>911.4</v>
      </c>
      <c r="F137" s="26">
        <v>8467.5585923599992</v>
      </c>
      <c r="G137" s="26">
        <v>1209680.5</v>
      </c>
      <c r="H137" s="29">
        <v>1465</v>
      </c>
      <c r="I137" s="26">
        <v>14219998.720000001</v>
      </c>
      <c r="J137" s="26">
        <v>-998845.11</v>
      </c>
      <c r="K137" s="26">
        <v>-5192.6712058098301</v>
      </c>
      <c r="L137" s="26">
        <f t="shared" si="2"/>
        <v>13221153.610000001</v>
      </c>
      <c r="M137" s="26">
        <v>8061.35</v>
      </c>
    </row>
    <row r="138" spans="1:13" x14ac:dyDescent="0.25">
      <c r="A138" s="27" t="s">
        <v>367</v>
      </c>
      <c r="B138" s="28" t="s">
        <v>175</v>
      </c>
      <c r="C138" s="28" t="s">
        <v>178</v>
      </c>
      <c r="D138" s="29">
        <v>293.3</v>
      </c>
      <c r="E138" s="29">
        <v>125</v>
      </c>
      <c r="F138" s="26">
        <v>10904.197073969999</v>
      </c>
      <c r="G138" s="26">
        <v>163562.96</v>
      </c>
      <c r="H138" s="29">
        <v>279</v>
      </c>
      <c r="I138" s="26">
        <v>3361763.96</v>
      </c>
      <c r="J138" s="26">
        <v>-236137.96</v>
      </c>
      <c r="K138" s="26">
        <v>-1227.6045350577056</v>
      </c>
      <c r="L138" s="26">
        <f t="shared" si="2"/>
        <v>3125626</v>
      </c>
      <c r="M138" s="26">
        <v>8061.35</v>
      </c>
    </row>
    <row r="139" spans="1:13" x14ac:dyDescent="0.25">
      <c r="A139" s="27" t="s">
        <v>368</v>
      </c>
      <c r="B139" s="28" t="s">
        <v>175</v>
      </c>
      <c r="C139" s="28" t="s">
        <v>179</v>
      </c>
      <c r="D139" s="29">
        <v>239.3</v>
      </c>
      <c r="E139" s="29">
        <v>61.5</v>
      </c>
      <c r="F139" s="26">
        <v>12388.716596710001</v>
      </c>
      <c r="G139" s="26">
        <v>91428.73</v>
      </c>
      <c r="H139" s="29">
        <v>217</v>
      </c>
      <c r="I139" s="26">
        <v>3052041.89</v>
      </c>
      <c r="J139" s="26">
        <v>-214382.38</v>
      </c>
      <c r="K139" s="26">
        <v>-1114.5043211905797</v>
      </c>
      <c r="L139" s="26">
        <f t="shared" si="2"/>
        <v>2837659.5100000002</v>
      </c>
      <c r="M139" s="26">
        <v>8061.35</v>
      </c>
    </row>
    <row r="140" spans="1:13" x14ac:dyDescent="0.25">
      <c r="A140" s="27" t="s">
        <v>369</v>
      </c>
      <c r="B140" s="28" t="s">
        <v>180</v>
      </c>
      <c r="C140" s="28" t="s">
        <v>181</v>
      </c>
      <c r="D140" s="29">
        <v>16631.3</v>
      </c>
      <c r="E140" s="29">
        <v>10945.3</v>
      </c>
      <c r="F140" s="26">
        <v>8276.6053971700003</v>
      </c>
      <c r="G140" s="26">
        <v>16081769.390000001</v>
      </c>
      <c r="H140" s="29">
        <v>15270</v>
      </c>
      <c r="I140" s="26">
        <v>153732898.31</v>
      </c>
      <c r="J140" s="26">
        <v>-10798549.050000001</v>
      </c>
      <c r="K140" s="26">
        <v>-56138.148123639228</v>
      </c>
      <c r="L140" s="26">
        <f t="shared" si="2"/>
        <v>142934349.25999999</v>
      </c>
      <c r="M140" s="26">
        <v>8061.35</v>
      </c>
    </row>
    <row r="141" spans="1:13" x14ac:dyDescent="0.25">
      <c r="A141" s="27" t="s">
        <v>370</v>
      </c>
      <c r="B141" s="28" t="s">
        <v>180</v>
      </c>
      <c r="C141" s="28" t="s">
        <v>182</v>
      </c>
      <c r="D141" s="29">
        <v>10278.6</v>
      </c>
      <c r="E141" s="29">
        <v>3927.2</v>
      </c>
      <c r="F141" s="26">
        <v>8199.6011675999998</v>
      </c>
      <c r="G141" s="26">
        <v>3899839.95</v>
      </c>
      <c r="H141" s="29">
        <v>10238</v>
      </c>
      <c r="I141" s="26">
        <v>89088035.670000002</v>
      </c>
      <c r="J141" s="26">
        <v>-6257746.6100000003</v>
      </c>
      <c r="K141" s="26">
        <v>-32531.991508323983</v>
      </c>
      <c r="L141" s="26">
        <f t="shared" si="2"/>
        <v>82830289.060000002</v>
      </c>
      <c r="M141" s="26">
        <v>8061.35</v>
      </c>
    </row>
    <row r="142" spans="1:13" x14ac:dyDescent="0.25">
      <c r="A142" s="27" t="s">
        <v>371</v>
      </c>
      <c r="B142" s="28" t="s">
        <v>183</v>
      </c>
      <c r="C142" s="28" t="s">
        <v>184</v>
      </c>
      <c r="D142" s="29">
        <v>721.8</v>
      </c>
      <c r="E142" s="29">
        <v>206.8</v>
      </c>
      <c r="F142" s="26">
        <v>9097.8637256099992</v>
      </c>
      <c r="G142" s="26">
        <v>225772.59</v>
      </c>
      <c r="H142" s="29">
        <v>704</v>
      </c>
      <c r="I142" s="26">
        <v>6792610.6299999999</v>
      </c>
      <c r="J142" s="26">
        <v>-477128.45</v>
      </c>
      <c r="K142" s="26">
        <v>-2480.4357799826735</v>
      </c>
      <c r="L142" s="26">
        <f t="shared" si="2"/>
        <v>6315482.1799999997</v>
      </c>
      <c r="M142" s="26">
        <v>8061.35</v>
      </c>
    </row>
    <row r="143" spans="1:13" x14ac:dyDescent="0.25">
      <c r="A143" s="27" t="s">
        <v>372</v>
      </c>
      <c r="B143" s="28" t="s">
        <v>183</v>
      </c>
      <c r="C143" s="28" t="s">
        <v>185</v>
      </c>
      <c r="D143" s="29">
        <v>490.8</v>
      </c>
      <c r="E143" s="29">
        <v>133.6</v>
      </c>
      <c r="F143" s="26">
        <v>9307.1553195699998</v>
      </c>
      <c r="G143" s="26">
        <v>149212.31</v>
      </c>
      <c r="H143" s="29">
        <v>473</v>
      </c>
      <c r="I143" s="26">
        <v>4717164.1399999997</v>
      </c>
      <c r="J143" s="26">
        <v>-331344.36</v>
      </c>
      <c r="K143" s="26">
        <v>-1722.5516590512709</v>
      </c>
      <c r="L143" s="26">
        <f t="shared" si="2"/>
        <v>4385819.7799999993</v>
      </c>
      <c r="M143" s="26">
        <v>8061.35</v>
      </c>
    </row>
    <row r="144" spans="1:13" x14ac:dyDescent="0.25">
      <c r="A144" s="27" t="s">
        <v>373</v>
      </c>
      <c r="B144" s="28" t="s">
        <v>186</v>
      </c>
      <c r="C144" s="28" t="s">
        <v>187</v>
      </c>
      <c r="D144" s="29">
        <v>446.6</v>
      </c>
      <c r="E144" s="29">
        <v>249</v>
      </c>
      <c r="F144" s="26">
        <v>9634.7308438100008</v>
      </c>
      <c r="G144" s="26">
        <v>287885.76</v>
      </c>
      <c r="H144" s="29">
        <v>421</v>
      </c>
      <c r="I144" s="26">
        <v>4590756.55</v>
      </c>
      <c r="J144" s="26">
        <v>-322465.2</v>
      </c>
      <c r="K144" s="26">
        <v>-1676.3918070196421</v>
      </c>
      <c r="L144" s="26">
        <f t="shared" si="2"/>
        <v>4268291.3499999996</v>
      </c>
      <c r="M144" s="26">
        <v>8061.35</v>
      </c>
    </row>
    <row r="145" spans="1:13" x14ac:dyDescent="0.25">
      <c r="A145" s="27" t="s">
        <v>374</v>
      </c>
      <c r="B145" s="28" t="s">
        <v>186</v>
      </c>
      <c r="C145" s="28" t="s">
        <v>188</v>
      </c>
      <c r="D145" s="29">
        <v>1130.0999999999999</v>
      </c>
      <c r="E145" s="29">
        <v>681.8</v>
      </c>
      <c r="F145" s="26">
        <v>8557.7550876999994</v>
      </c>
      <c r="G145" s="26">
        <v>905777.28</v>
      </c>
      <c r="H145" s="29">
        <v>1109</v>
      </c>
      <c r="I145" s="26">
        <v>10557035.98</v>
      </c>
      <c r="J145" s="26">
        <v>-741550.26</v>
      </c>
      <c r="K145" s="26">
        <v>-3855.0788813716513</v>
      </c>
      <c r="L145" s="26">
        <f t="shared" si="2"/>
        <v>9815485.7200000007</v>
      </c>
      <c r="M145" s="26">
        <v>8061.35</v>
      </c>
    </row>
    <row r="146" spans="1:13" x14ac:dyDescent="0.25">
      <c r="A146" s="27" t="s">
        <v>375</v>
      </c>
      <c r="B146" s="28" t="s">
        <v>186</v>
      </c>
      <c r="C146" s="28" t="s">
        <v>189</v>
      </c>
      <c r="D146" s="29">
        <v>385.2</v>
      </c>
      <c r="E146" s="29">
        <v>122.7</v>
      </c>
      <c r="F146" s="26">
        <v>10348.967625810001</v>
      </c>
      <c r="G146" s="26">
        <v>152378.20000000001</v>
      </c>
      <c r="H146" s="29">
        <v>354</v>
      </c>
      <c r="I146" s="26">
        <v>4138800.53</v>
      </c>
      <c r="J146" s="26">
        <v>-290718.78000000003</v>
      </c>
      <c r="K146" s="26">
        <v>-1511.3524802944407</v>
      </c>
      <c r="L146" s="26">
        <f t="shared" si="2"/>
        <v>3848081.75</v>
      </c>
      <c r="M146" s="26">
        <v>8061.35</v>
      </c>
    </row>
    <row r="147" spans="1:13" x14ac:dyDescent="0.25">
      <c r="A147" s="27" t="s">
        <v>376</v>
      </c>
      <c r="B147" s="28" t="s">
        <v>190</v>
      </c>
      <c r="C147" s="28" t="s">
        <v>191</v>
      </c>
      <c r="D147" s="29">
        <v>404.9</v>
      </c>
      <c r="E147" s="29">
        <v>77.599999999999994</v>
      </c>
      <c r="F147" s="26">
        <v>11124.205445219999</v>
      </c>
      <c r="G147" s="26">
        <v>103588.6</v>
      </c>
      <c r="H147" s="29">
        <v>388</v>
      </c>
      <c r="I147" s="26">
        <v>4607779.38</v>
      </c>
      <c r="J147" s="26">
        <v>-323660.92</v>
      </c>
      <c r="K147" s="26">
        <v>-1682.6079800399771</v>
      </c>
      <c r="L147" s="26">
        <f t="shared" si="2"/>
        <v>4284118.46</v>
      </c>
      <c r="M147" s="26">
        <v>8061.35</v>
      </c>
    </row>
    <row r="148" spans="1:13" x14ac:dyDescent="0.25">
      <c r="A148" s="27" t="s">
        <v>377</v>
      </c>
      <c r="B148" s="28" t="s">
        <v>190</v>
      </c>
      <c r="C148" s="28" t="s">
        <v>192</v>
      </c>
      <c r="D148" s="29">
        <v>2793.8</v>
      </c>
      <c r="E148" s="29">
        <v>334.2</v>
      </c>
      <c r="F148" s="26">
        <v>8974.9786273999998</v>
      </c>
      <c r="G148" s="26">
        <v>359932.54</v>
      </c>
      <c r="H148" s="29">
        <v>2733</v>
      </c>
      <c r="I148" s="26">
        <v>25434227.829999998</v>
      </c>
      <c r="J148" s="26">
        <v>-1786558.11</v>
      </c>
      <c r="K148" s="26">
        <v>-8888.8059964264248</v>
      </c>
      <c r="L148" s="26">
        <f t="shared" si="2"/>
        <v>23647669.719999999</v>
      </c>
      <c r="M148" s="26">
        <v>8061.35</v>
      </c>
    </row>
    <row r="149" spans="1:13" x14ac:dyDescent="0.25">
      <c r="A149" s="27" t="s">
        <v>378</v>
      </c>
      <c r="B149" s="28" t="s">
        <v>190</v>
      </c>
      <c r="C149" s="28" t="s">
        <v>193</v>
      </c>
      <c r="D149" s="29">
        <v>324.89999999999998</v>
      </c>
      <c r="E149" s="29">
        <v>90</v>
      </c>
      <c r="F149" s="26">
        <v>12226.912053690001</v>
      </c>
      <c r="G149" s="26">
        <v>132050.65</v>
      </c>
      <c r="H149" s="29">
        <v>292</v>
      </c>
      <c r="I149" s="26">
        <v>4100729.46</v>
      </c>
      <c r="J149" s="26">
        <v>-288044.58</v>
      </c>
      <c r="K149" s="26">
        <v>-1497.4501905966818</v>
      </c>
      <c r="L149" s="26">
        <f t="shared" si="2"/>
        <v>3812684.88</v>
      </c>
      <c r="M149" s="26">
        <v>8061.35</v>
      </c>
    </row>
    <row r="150" spans="1:13" x14ac:dyDescent="0.25">
      <c r="A150" s="27" t="s">
        <v>379</v>
      </c>
      <c r="B150" s="28" t="s">
        <v>194</v>
      </c>
      <c r="C150" s="28" t="s">
        <v>195</v>
      </c>
      <c r="D150" s="29">
        <v>156.19999999999999</v>
      </c>
      <c r="E150" s="29">
        <v>84</v>
      </c>
      <c r="F150" s="26">
        <v>14783.33531509</v>
      </c>
      <c r="G150" s="26">
        <v>149016.01999999999</v>
      </c>
      <c r="H150" s="29">
        <v>155</v>
      </c>
      <c r="I150" s="26">
        <v>2458173</v>
      </c>
      <c r="J150" s="26">
        <v>-172667.67</v>
      </c>
      <c r="K150" s="26">
        <v>-897.64313069015873</v>
      </c>
      <c r="L150" s="26">
        <f t="shared" si="2"/>
        <v>2285505.33</v>
      </c>
      <c r="M150" s="26">
        <v>8061.35</v>
      </c>
    </row>
    <row r="151" spans="1:13" x14ac:dyDescent="0.25">
      <c r="A151" s="27" t="s">
        <v>380</v>
      </c>
      <c r="B151" s="28" t="s">
        <v>194</v>
      </c>
      <c r="C151" s="28" t="s">
        <v>149</v>
      </c>
      <c r="D151" s="29">
        <v>226.5</v>
      </c>
      <c r="E151" s="29">
        <v>164.3</v>
      </c>
      <c r="F151" s="26">
        <v>14687.21397907</v>
      </c>
      <c r="G151" s="26">
        <v>289573.11</v>
      </c>
      <c r="H151" s="29">
        <v>215</v>
      </c>
      <c r="I151" s="26">
        <v>3616227.08</v>
      </c>
      <c r="J151" s="26">
        <v>-254012.03</v>
      </c>
      <c r="K151" s="26">
        <v>-1320.5260140590303</v>
      </c>
      <c r="L151" s="26">
        <f t="shared" si="2"/>
        <v>3362215.0500000003</v>
      </c>
      <c r="M151" s="26">
        <v>8061.35</v>
      </c>
    </row>
    <row r="152" spans="1:13" x14ac:dyDescent="0.25">
      <c r="A152" s="27" t="s">
        <v>381</v>
      </c>
      <c r="B152" s="28" t="s">
        <v>194</v>
      </c>
      <c r="C152" s="28" t="s">
        <v>196</v>
      </c>
      <c r="D152" s="29">
        <v>643.29999999999995</v>
      </c>
      <c r="E152" s="29">
        <v>471.2</v>
      </c>
      <c r="F152" s="26">
        <v>8976.2407013100001</v>
      </c>
      <c r="G152" s="26">
        <v>874398.86</v>
      </c>
      <c r="H152" s="29">
        <v>562</v>
      </c>
      <c r="I152" s="26">
        <v>6648814.5</v>
      </c>
      <c r="J152" s="26">
        <v>-467027.88</v>
      </c>
      <c r="K152" s="26">
        <v>-2427.9262104522568</v>
      </c>
      <c r="L152" s="26">
        <f t="shared" si="2"/>
        <v>6181786.6200000001</v>
      </c>
      <c r="M152" s="26">
        <v>8061.35</v>
      </c>
    </row>
    <row r="153" spans="1:13" x14ac:dyDescent="0.25">
      <c r="A153" s="27" t="s">
        <v>382</v>
      </c>
      <c r="B153" s="28" t="s">
        <v>197</v>
      </c>
      <c r="C153" s="28" t="s">
        <v>198</v>
      </c>
      <c r="D153" s="29">
        <v>81</v>
      </c>
      <c r="E153" s="29">
        <v>37.799999999999997</v>
      </c>
      <c r="F153" s="26">
        <v>18116.180823160001</v>
      </c>
      <c r="G153" s="26">
        <v>82175</v>
      </c>
      <c r="H153" s="29">
        <v>72</v>
      </c>
      <c r="I153" s="26">
        <v>1549585.65</v>
      </c>
      <c r="J153" s="26">
        <v>-108846.43</v>
      </c>
      <c r="K153" s="26">
        <v>-565.85720758257753</v>
      </c>
      <c r="L153" s="26">
        <f t="shared" si="2"/>
        <v>1440739.22</v>
      </c>
      <c r="M153" s="26">
        <v>8061.35</v>
      </c>
    </row>
    <row r="154" spans="1:13" x14ac:dyDescent="0.25">
      <c r="A154" s="27" t="s">
        <v>383</v>
      </c>
      <c r="B154" s="28" t="s">
        <v>199</v>
      </c>
      <c r="C154" s="28" t="s">
        <v>200</v>
      </c>
      <c r="D154" s="29">
        <v>919.3</v>
      </c>
      <c r="E154" s="29">
        <v>158.1</v>
      </c>
      <c r="F154" s="26">
        <v>11914.59526237</v>
      </c>
      <c r="G154" s="26">
        <v>226043.7</v>
      </c>
      <c r="H154" s="29">
        <v>885</v>
      </c>
      <c r="I154" s="26">
        <v>11179131.119999999</v>
      </c>
      <c r="J154" s="26">
        <v>-785247.64</v>
      </c>
      <c r="K154" s="26">
        <v>-4082.2473632191968</v>
      </c>
      <c r="L154" s="26">
        <f t="shared" si="2"/>
        <v>10393883.479999999</v>
      </c>
      <c r="M154" s="26">
        <v>8061.35</v>
      </c>
    </row>
    <row r="155" spans="1:13" x14ac:dyDescent="0.25">
      <c r="A155" s="27" t="s">
        <v>384</v>
      </c>
      <c r="B155" s="28" t="s">
        <v>199</v>
      </c>
      <c r="C155" s="28" t="s">
        <v>201</v>
      </c>
      <c r="D155" s="29">
        <v>219.2</v>
      </c>
      <c r="E155" s="29">
        <v>43.6</v>
      </c>
      <c r="F155" s="26">
        <v>14518.97483134</v>
      </c>
      <c r="G155" s="26">
        <v>75963.28</v>
      </c>
      <c r="H155" s="29">
        <v>171</v>
      </c>
      <c r="I155" s="26">
        <v>3258522.56</v>
      </c>
      <c r="J155" s="26">
        <v>-228886.05</v>
      </c>
      <c r="K155" s="26">
        <v>-1189.9042045505125</v>
      </c>
      <c r="L155" s="26">
        <f t="shared" si="2"/>
        <v>3029636.5100000002</v>
      </c>
      <c r="M155" s="26">
        <v>8061.35</v>
      </c>
    </row>
    <row r="156" spans="1:13" x14ac:dyDescent="0.25">
      <c r="A156" s="27" t="s">
        <v>385</v>
      </c>
      <c r="B156" s="28" t="s">
        <v>202</v>
      </c>
      <c r="C156" s="28" t="s">
        <v>203</v>
      </c>
      <c r="D156" s="29">
        <v>813.5</v>
      </c>
      <c r="E156" s="29">
        <v>371.1</v>
      </c>
      <c r="F156" s="26">
        <v>8881.0284578800001</v>
      </c>
      <c r="G156" s="26">
        <v>424325.23</v>
      </c>
      <c r="H156" s="29">
        <v>803</v>
      </c>
      <c r="I156" s="26">
        <v>7347939.5899999999</v>
      </c>
      <c r="J156" s="26">
        <v>-516136.02</v>
      </c>
      <c r="K156" s="26">
        <v>-2683.2234711239998</v>
      </c>
      <c r="L156" s="26">
        <f t="shared" si="2"/>
        <v>6831803.5700000003</v>
      </c>
      <c r="M156" s="26">
        <v>8061.35</v>
      </c>
    </row>
    <row r="157" spans="1:13" x14ac:dyDescent="0.25">
      <c r="A157" s="27" t="s">
        <v>386</v>
      </c>
      <c r="B157" s="28" t="s">
        <v>202</v>
      </c>
      <c r="C157" s="28" t="s">
        <v>204</v>
      </c>
      <c r="D157" s="29">
        <v>148.5</v>
      </c>
      <c r="E157" s="29">
        <v>56.2</v>
      </c>
      <c r="F157" s="26">
        <v>15247.01356257</v>
      </c>
      <c r="G157" s="26">
        <v>102825.86</v>
      </c>
      <c r="H157" s="29">
        <v>139</v>
      </c>
      <c r="I157" s="26">
        <v>2367007.37</v>
      </c>
      <c r="J157" s="26">
        <v>-166263.99</v>
      </c>
      <c r="K157" s="26">
        <v>-864.352470124776</v>
      </c>
      <c r="L157" s="26">
        <f t="shared" si="2"/>
        <v>2200743.38</v>
      </c>
      <c r="M157" s="26">
        <v>8061.35</v>
      </c>
    </row>
    <row r="158" spans="1:13" x14ac:dyDescent="0.25">
      <c r="A158" s="27" t="s">
        <v>387</v>
      </c>
      <c r="B158" s="28" t="s">
        <v>205</v>
      </c>
      <c r="C158" s="28" t="s">
        <v>205</v>
      </c>
      <c r="D158" s="29">
        <v>3511</v>
      </c>
      <c r="E158" s="29">
        <v>857</v>
      </c>
      <c r="F158" s="26">
        <v>9204.6440153900003</v>
      </c>
      <c r="G158" s="26">
        <v>946605.59</v>
      </c>
      <c r="H158" s="29">
        <v>3445</v>
      </c>
      <c r="I158" s="26">
        <v>33263288.079999998</v>
      </c>
      <c r="J158" s="26">
        <v>-2336489.14</v>
      </c>
      <c r="K158" s="26">
        <v>-12146.6479462232</v>
      </c>
      <c r="L158" s="26">
        <f t="shared" si="2"/>
        <v>30926798.939999998</v>
      </c>
      <c r="M158" s="26">
        <v>8061.35</v>
      </c>
    </row>
    <row r="159" spans="1:13" x14ac:dyDescent="0.25">
      <c r="A159" s="27" t="s">
        <v>388</v>
      </c>
      <c r="B159" s="28" t="s">
        <v>206</v>
      </c>
      <c r="C159" s="28" t="s">
        <v>207</v>
      </c>
      <c r="D159" s="29">
        <v>357.3</v>
      </c>
      <c r="E159" s="29">
        <v>208.2</v>
      </c>
      <c r="F159" s="26">
        <v>10943.245375959999</v>
      </c>
      <c r="G159" s="26">
        <v>273406.03999999998</v>
      </c>
      <c r="H159" s="29">
        <v>338</v>
      </c>
      <c r="I159" s="26">
        <v>4183427.61</v>
      </c>
      <c r="J159" s="26">
        <v>0</v>
      </c>
      <c r="K159" s="26">
        <v>0</v>
      </c>
      <c r="L159" s="26">
        <f t="shared" si="2"/>
        <v>4183427.61</v>
      </c>
      <c r="M159" s="26">
        <v>8061.35</v>
      </c>
    </row>
    <row r="160" spans="1:13" x14ac:dyDescent="0.25">
      <c r="A160" s="27" t="s">
        <v>389</v>
      </c>
      <c r="B160" s="28" t="s">
        <v>206</v>
      </c>
      <c r="C160" s="28" t="s">
        <v>208</v>
      </c>
      <c r="D160" s="29">
        <v>2316</v>
      </c>
      <c r="E160" s="29">
        <v>571.4</v>
      </c>
      <c r="F160" s="26">
        <v>8539.4490396900001</v>
      </c>
      <c r="G160" s="26">
        <v>585532.93999999994</v>
      </c>
      <c r="H160" s="29">
        <v>2166</v>
      </c>
      <c r="I160" s="26">
        <v>20362896.920000002</v>
      </c>
      <c r="J160" s="26">
        <v>-1430336.28</v>
      </c>
      <c r="K160" s="26">
        <v>-7435.8535864236528</v>
      </c>
      <c r="L160" s="26">
        <f t="shared" si="2"/>
        <v>18932560.640000001</v>
      </c>
      <c r="M160" s="26">
        <v>8061.35</v>
      </c>
    </row>
    <row r="161" spans="1:13" x14ac:dyDescent="0.25">
      <c r="A161" s="27" t="s">
        <v>390</v>
      </c>
      <c r="B161" s="28" t="s">
        <v>209</v>
      </c>
      <c r="C161" s="28" t="s">
        <v>210</v>
      </c>
      <c r="D161" s="29">
        <v>384.8</v>
      </c>
      <c r="E161" s="29">
        <v>152.6</v>
      </c>
      <c r="F161" s="26">
        <v>10595.331692</v>
      </c>
      <c r="G161" s="26">
        <v>194021.71</v>
      </c>
      <c r="H161" s="29">
        <v>357</v>
      </c>
      <c r="I161" s="26">
        <v>4271105.3499999996</v>
      </c>
      <c r="J161" s="26">
        <v>-300012.17</v>
      </c>
      <c r="K161" s="26">
        <v>-1559.6658067551027</v>
      </c>
      <c r="L161" s="26">
        <f t="shared" si="2"/>
        <v>3971093.1799999997</v>
      </c>
      <c r="M161" s="26">
        <v>8061.35</v>
      </c>
    </row>
    <row r="162" spans="1:13" x14ac:dyDescent="0.25">
      <c r="A162" s="27" t="s">
        <v>391</v>
      </c>
      <c r="B162" s="28" t="s">
        <v>209</v>
      </c>
      <c r="C162" s="28" t="s">
        <v>211</v>
      </c>
      <c r="D162" s="29">
        <v>107</v>
      </c>
      <c r="E162" s="29">
        <v>50.5</v>
      </c>
      <c r="F162" s="26">
        <v>16564.218972390001</v>
      </c>
      <c r="G162" s="26">
        <v>100379.17</v>
      </c>
      <c r="H162" s="29">
        <v>94</v>
      </c>
      <c r="I162" s="26">
        <v>1872750.6</v>
      </c>
      <c r="J162" s="26">
        <v>-131546.26999999999</v>
      </c>
      <c r="K162" s="26">
        <v>-683.86631413038981</v>
      </c>
      <c r="L162" s="26">
        <f t="shared" si="2"/>
        <v>1741204.33</v>
      </c>
      <c r="M162" s="26">
        <v>8061.35</v>
      </c>
    </row>
    <row r="163" spans="1:13" x14ac:dyDescent="0.25">
      <c r="A163" s="27" t="s">
        <v>392</v>
      </c>
      <c r="B163" s="28" t="s">
        <v>209</v>
      </c>
      <c r="C163" s="28" t="s">
        <v>212</v>
      </c>
      <c r="D163" s="29">
        <v>225.6</v>
      </c>
      <c r="E163" s="29">
        <v>92</v>
      </c>
      <c r="F163" s="26">
        <v>13363.17767374</v>
      </c>
      <c r="G163" s="26">
        <v>147529.48000000001</v>
      </c>
      <c r="H163" s="29">
        <v>202</v>
      </c>
      <c r="I163" s="26">
        <v>3162262.36</v>
      </c>
      <c r="J163" s="26">
        <v>-222124.51</v>
      </c>
      <c r="K163" s="26">
        <v>-1154.7531785168192</v>
      </c>
      <c r="L163" s="26">
        <f t="shared" si="2"/>
        <v>2940137.8499999996</v>
      </c>
      <c r="M163" s="26">
        <v>8061.35</v>
      </c>
    </row>
    <row r="164" spans="1:13" x14ac:dyDescent="0.25">
      <c r="A164" s="27" t="s">
        <v>393</v>
      </c>
      <c r="B164" s="28" t="s">
        <v>209</v>
      </c>
      <c r="C164" s="28" t="s">
        <v>213</v>
      </c>
      <c r="D164" s="29">
        <v>128</v>
      </c>
      <c r="E164" s="29">
        <v>50.6</v>
      </c>
      <c r="F164" s="26">
        <v>16295.61855822</v>
      </c>
      <c r="G164" s="26">
        <v>98947</v>
      </c>
      <c r="H164" s="29">
        <v>130</v>
      </c>
      <c r="I164" s="26">
        <v>2184786.1800000002</v>
      </c>
      <c r="J164" s="26">
        <v>-153464.35999999999</v>
      </c>
      <c r="K164" s="26">
        <v>-797.81134351764183</v>
      </c>
      <c r="L164" s="26">
        <f t="shared" si="2"/>
        <v>2031321.8200000003</v>
      </c>
      <c r="M164" s="26">
        <v>8061.35</v>
      </c>
    </row>
    <row r="165" spans="1:13" x14ac:dyDescent="0.25">
      <c r="A165" s="27" t="s">
        <v>394</v>
      </c>
      <c r="B165" s="28" t="s">
        <v>209</v>
      </c>
      <c r="C165" s="28" t="s">
        <v>214</v>
      </c>
      <c r="D165" s="29">
        <v>95.7</v>
      </c>
      <c r="E165" s="29">
        <v>47</v>
      </c>
      <c r="F165" s="26">
        <v>16773.915095069999</v>
      </c>
      <c r="G165" s="26">
        <v>94604.88</v>
      </c>
      <c r="H165" s="29">
        <v>80</v>
      </c>
      <c r="I165" s="26">
        <v>1699868.55</v>
      </c>
      <c r="J165" s="26">
        <v>-119402.64</v>
      </c>
      <c r="K165" s="26">
        <v>-620.7355322166195</v>
      </c>
      <c r="L165" s="26">
        <f t="shared" si="2"/>
        <v>1580465.9100000001</v>
      </c>
      <c r="M165" s="26">
        <v>8061.35</v>
      </c>
    </row>
    <row r="166" spans="1:13" x14ac:dyDescent="0.25">
      <c r="A166" s="27" t="s">
        <v>395</v>
      </c>
      <c r="B166" s="28" t="s">
        <v>215</v>
      </c>
      <c r="C166" s="28" t="s">
        <v>216</v>
      </c>
      <c r="D166" s="29">
        <v>1905.2</v>
      </c>
      <c r="E166" s="29">
        <v>867.9</v>
      </c>
      <c r="F166" s="26">
        <v>8592.6046833700002</v>
      </c>
      <c r="G166" s="26">
        <v>971480.4</v>
      </c>
      <c r="H166" s="29">
        <v>1834</v>
      </c>
      <c r="I166" s="26">
        <v>17341900.239999998</v>
      </c>
      <c r="J166" s="26">
        <v>-1218134.5900000001</v>
      </c>
      <c r="K166" s="26">
        <v>-6332.6859432790907</v>
      </c>
      <c r="L166" s="26">
        <f t="shared" si="2"/>
        <v>16123765.649999999</v>
      </c>
      <c r="M166" s="26">
        <v>8061.35</v>
      </c>
    </row>
    <row r="167" spans="1:13" x14ac:dyDescent="0.25">
      <c r="A167" s="27" t="s">
        <v>396</v>
      </c>
      <c r="B167" s="28" t="s">
        <v>215</v>
      </c>
      <c r="C167" s="28" t="s">
        <v>217</v>
      </c>
      <c r="D167" s="29">
        <v>2033</v>
      </c>
      <c r="E167" s="29">
        <v>430.6</v>
      </c>
      <c r="F167" s="26">
        <v>8480.7738473999998</v>
      </c>
      <c r="G167" s="26">
        <v>438218.55</v>
      </c>
      <c r="H167" s="29">
        <v>1968</v>
      </c>
      <c r="I167" s="26">
        <v>17679631.780000001</v>
      </c>
      <c r="J167" s="26">
        <v>-1241857.6200000001</v>
      </c>
      <c r="K167" s="26">
        <v>-6456.0142848409778</v>
      </c>
      <c r="L167" s="26">
        <f t="shared" si="2"/>
        <v>16437774.16</v>
      </c>
      <c r="M167" s="26">
        <v>8061.35</v>
      </c>
    </row>
    <row r="168" spans="1:13" x14ac:dyDescent="0.25">
      <c r="A168" s="27" t="s">
        <v>397</v>
      </c>
      <c r="B168" s="28" t="s">
        <v>215</v>
      </c>
      <c r="C168" s="28" t="s">
        <v>218</v>
      </c>
      <c r="D168" s="29">
        <v>2563</v>
      </c>
      <c r="E168" s="29">
        <v>829.9</v>
      </c>
      <c r="F168" s="26">
        <v>8463.1105460500003</v>
      </c>
      <c r="G168" s="26">
        <v>842824.25</v>
      </c>
      <c r="H168" s="29">
        <v>2511</v>
      </c>
      <c r="I168" s="26">
        <v>22533776.579999998</v>
      </c>
      <c r="J168" s="26">
        <v>-1582823.81</v>
      </c>
      <c r="K168" s="26">
        <v>-8228.5867324599294</v>
      </c>
      <c r="L168" s="26">
        <f t="shared" si="2"/>
        <v>20950952.77</v>
      </c>
      <c r="M168" s="26">
        <v>8061.35</v>
      </c>
    </row>
    <row r="169" spans="1:13" x14ac:dyDescent="0.25">
      <c r="A169" s="27" t="s">
        <v>398</v>
      </c>
      <c r="B169" s="28" t="s">
        <v>215</v>
      </c>
      <c r="C169" s="28" t="s">
        <v>219</v>
      </c>
      <c r="D169" s="29">
        <v>7127</v>
      </c>
      <c r="E169" s="29">
        <v>774.2</v>
      </c>
      <c r="F169" s="26">
        <v>8259.5020948099991</v>
      </c>
      <c r="G169" s="26">
        <v>767340.78</v>
      </c>
      <c r="H169" s="29">
        <v>7113</v>
      </c>
      <c r="I169" s="26">
        <v>61818101.329999998</v>
      </c>
      <c r="J169" s="26">
        <v>-4342244.29</v>
      </c>
      <c r="K169" s="26">
        <v>-22573.917275653694</v>
      </c>
      <c r="L169" s="26">
        <f t="shared" si="2"/>
        <v>57475857.039999999</v>
      </c>
      <c r="M169" s="26">
        <v>8061.35</v>
      </c>
    </row>
    <row r="170" spans="1:13" x14ac:dyDescent="0.25">
      <c r="A170" s="27" t="s">
        <v>399</v>
      </c>
      <c r="B170" s="28" t="s">
        <v>215</v>
      </c>
      <c r="C170" s="28" t="s">
        <v>220</v>
      </c>
      <c r="D170" s="29">
        <v>3894.5</v>
      </c>
      <c r="E170" s="29">
        <v>820.6</v>
      </c>
      <c r="F170" s="26">
        <v>8297.0976535400005</v>
      </c>
      <c r="G170" s="26">
        <v>817031.8</v>
      </c>
      <c r="H170" s="29">
        <v>3822</v>
      </c>
      <c r="I170" s="26">
        <v>33780075.159999996</v>
      </c>
      <c r="J170" s="26">
        <v>-2372789.4500000002</v>
      </c>
      <c r="K170" s="26">
        <v>-12335.361419264194</v>
      </c>
      <c r="L170" s="26">
        <f t="shared" si="2"/>
        <v>31407285.709999997</v>
      </c>
      <c r="M170" s="26">
        <v>8061.35</v>
      </c>
    </row>
    <row r="171" spans="1:13" x14ac:dyDescent="0.25">
      <c r="A171" s="27" t="s">
        <v>400</v>
      </c>
      <c r="B171" s="28" t="s">
        <v>215</v>
      </c>
      <c r="C171" s="28" t="s">
        <v>221</v>
      </c>
      <c r="D171" s="29">
        <v>22420.3</v>
      </c>
      <c r="E171" s="29">
        <v>11538.2</v>
      </c>
      <c r="F171" s="26">
        <v>8340.9829315999996</v>
      </c>
      <c r="G171" s="26">
        <v>13175115.029999999</v>
      </c>
      <c r="H171" s="29">
        <v>22341</v>
      </c>
      <c r="I171" s="26">
        <v>200182680.25</v>
      </c>
      <c r="J171" s="26">
        <v>-14061287.57</v>
      </c>
      <c r="K171" s="26">
        <v>-73100.065626925309</v>
      </c>
      <c r="L171" s="26">
        <f t="shared" si="2"/>
        <v>186121392.68000001</v>
      </c>
      <c r="M171" s="26">
        <v>8061.35</v>
      </c>
    </row>
    <row r="172" spans="1:13" x14ac:dyDescent="0.25">
      <c r="A172" s="27" t="s">
        <v>401</v>
      </c>
      <c r="B172" s="28" t="s">
        <v>215</v>
      </c>
      <c r="C172" s="28" t="s">
        <v>204</v>
      </c>
      <c r="D172" s="29">
        <v>1152.0999999999999</v>
      </c>
      <c r="E172" s="29">
        <v>413.7</v>
      </c>
      <c r="F172" s="26">
        <v>8897.7025419900001</v>
      </c>
      <c r="G172" s="26">
        <v>444813.05</v>
      </c>
      <c r="H172" s="29">
        <v>1093</v>
      </c>
      <c r="I172" s="26">
        <v>10695856.15</v>
      </c>
      <c r="J172" s="26">
        <v>-962.28</v>
      </c>
      <c r="K172" s="26">
        <v>0</v>
      </c>
      <c r="L172" s="26">
        <f t="shared" si="2"/>
        <v>10694893.870000001</v>
      </c>
      <c r="M172" s="26">
        <v>8061.35</v>
      </c>
    </row>
    <row r="173" spans="1:13" x14ac:dyDescent="0.25">
      <c r="A173" s="27" t="s">
        <v>402</v>
      </c>
      <c r="B173" s="28" t="s">
        <v>215</v>
      </c>
      <c r="C173" s="28" t="s">
        <v>222</v>
      </c>
      <c r="D173" s="29">
        <v>2337.3000000000002</v>
      </c>
      <c r="E173" s="29">
        <v>1155.7</v>
      </c>
      <c r="F173" s="26">
        <v>8612.9676476099994</v>
      </c>
      <c r="G173" s="26">
        <v>1360570.51</v>
      </c>
      <c r="H173" s="29">
        <v>2243</v>
      </c>
      <c r="I173" s="26">
        <v>21491659.789999999</v>
      </c>
      <c r="J173" s="26">
        <v>-829646.73</v>
      </c>
      <c r="K173" s="26">
        <v>0</v>
      </c>
      <c r="L173" s="26">
        <f t="shared" si="2"/>
        <v>20662013.059999999</v>
      </c>
      <c r="M173" s="26">
        <v>8061.35</v>
      </c>
    </row>
    <row r="174" spans="1:13" x14ac:dyDescent="0.25">
      <c r="A174" s="27" t="s">
        <v>403</v>
      </c>
      <c r="B174" s="28" t="s">
        <v>215</v>
      </c>
      <c r="C174" s="28" t="s">
        <v>223</v>
      </c>
      <c r="D174" s="29">
        <v>962.5</v>
      </c>
      <c r="E174" s="29">
        <v>354.2</v>
      </c>
      <c r="F174" s="26">
        <v>8989.4987591499994</v>
      </c>
      <c r="G174" s="26">
        <v>384321.83</v>
      </c>
      <c r="H174" s="29">
        <v>943</v>
      </c>
      <c r="I174" s="26">
        <v>9036714.3900000006</v>
      </c>
      <c r="J174" s="26">
        <v>-634759.41</v>
      </c>
      <c r="K174" s="26">
        <v>-3299.9079342181931</v>
      </c>
      <c r="L174" s="26">
        <f t="shared" si="2"/>
        <v>8401954.9800000004</v>
      </c>
      <c r="M174" s="26">
        <v>8061.35</v>
      </c>
    </row>
    <row r="175" spans="1:13" x14ac:dyDescent="0.25">
      <c r="A175" s="27" t="s">
        <v>404</v>
      </c>
      <c r="B175" s="28" t="s">
        <v>215</v>
      </c>
      <c r="C175" s="28" t="s">
        <v>224</v>
      </c>
      <c r="D175" s="29">
        <v>179</v>
      </c>
      <c r="E175" s="29">
        <v>39</v>
      </c>
      <c r="F175" s="26">
        <v>14858.15153696</v>
      </c>
      <c r="G175" s="26">
        <v>69536.149999999994</v>
      </c>
      <c r="H175" s="29">
        <v>170</v>
      </c>
      <c r="I175" s="26">
        <v>2729145.28</v>
      </c>
      <c r="J175" s="26">
        <v>-191701.38</v>
      </c>
      <c r="K175" s="26">
        <v>-996.59320695902545</v>
      </c>
      <c r="L175" s="26">
        <f t="shared" si="2"/>
        <v>2537443.9</v>
      </c>
      <c r="M175" s="26">
        <v>8061.35</v>
      </c>
    </row>
    <row r="176" spans="1:13" x14ac:dyDescent="0.25">
      <c r="A176" s="27" t="s">
        <v>405</v>
      </c>
      <c r="B176" s="28" t="s">
        <v>215</v>
      </c>
      <c r="C176" s="28" t="s">
        <v>225</v>
      </c>
      <c r="D176" s="29">
        <v>216</v>
      </c>
      <c r="E176" s="29">
        <v>36</v>
      </c>
      <c r="F176" s="26">
        <v>13749.88359035</v>
      </c>
      <c r="G176" s="26">
        <v>59399.5</v>
      </c>
      <c r="H176" s="29">
        <v>210</v>
      </c>
      <c r="I176" s="26">
        <v>3029374.36</v>
      </c>
      <c r="J176" s="26">
        <v>-26.68</v>
      </c>
      <c r="K176" s="26">
        <v>0</v>
      </c>
      <c r="L176" s="26">
        <f t="shared" si="2"/>
        <v>3029347.6799999997</v>
      </c>
      <c r="M176" s="26">
        <v>8061.35</v>
      </c>
    </row>
    <row r="177" spans="1:13" x14ac:dyDescent="0.25">
      <c r="A177" s="27" t="s">
        <v>406</v>
      </c>
      <c r="B177" s="28" t="s">
        <v>215</v>
      </c>
      <c r="C177" s="28" t="s">
        <v>226</v>
      </c>
      <c r="D177" s="29">
        <v>78.2</v>
      </c>
      <c r="E177" s="29">
        <v>25</v>
      </c>
      <c r="F177" s="26">
        <v>17752.83925859</v>
      </c>
      <c r="G177" s="26">
        <v>53258.52</v>
      </c>
      <c r="H177" s="29">
        <v>73</v>
      </c>
      <c r="I177" s="26">
        <v>1441530.55</v>
      </c>
      <c r="J177" s="26">
        <v>-236.97</v>
      </c>
      <c r="K177" s="26">
        <v>0</v>
      </c>
      <c r="L177" s="26">
        <f t="shared" si="2"/>
        <v>1441293.58</v>
      </c>
      <c r="M177" s="26">
        <v>8061.35</v>
      </c>
    </row>
    <row r="178" spans="1:13" x14ac:dyDescent="0.25">
      <c r="A178" s="30" t="s">
        <v>407</v>
      </c>
      <c r="B178" s="28" t="s">
        <v>227</v>
      </c>
      <c r="C178" s="28" t="s">
        <v>228</v>
      </c>
      <c r="D178" s="29">
        <v>864</v>
      </c>
      <c r="E178" s="29">
        <v>453.5</v>
      </c>
      <c r="F178" s="26">
        <v>9334.6513622700004</v>
      </c>
      <c r="G178" s="26">
        <v>596959.16</v>
      </c>
      <c r="H178" s="29">
        <v>839</v>
      </c>
      <c r="I178" s="26">
        <v>8662097.9399999995</v>
      </c>
      <c r="J178" s="26">
        <v>-608445.5</v>
      </c>
      <c r="K178" s="26">
        <v>-3163.1104486341474</v>
      </c>
      <c r="L178" s="26">
        <f t="shared" si="2"/>
        <v>8053652.4399999995</v>
      </c>
      <c r="M178" s="26">
        <v>8061.35</v>
      </c>
    </row>
    <row r="179" spans="1:13" x14ac:dyDescent="0.25">
      <c r="A179" s="30" t="s">
        <v>408</v>
      </c>
      <c r="B179" s="28" t="s">
        <v>227</v>
      </c>
      <c r="C179" s="28" t="s">
        <v>229</v>
      </c>
      <c r="D179" s="29">
        <v>733.5</v>
      </c>
      <c r="E179" s="29">
        <v>280.60000000000002</v>
      </c>
      <c r="F179" s="26">
        <v>9209.8784449800005</v>
      </c>
      <c r="G179" s="26">
        <v>315187.83</v>
      </c>
      <c r="H179" s="29">
        <v>707</v>
      </c>
      <c r="I179" s="26">
        <v>7070633.6699999999</v>
      </c>
      <c r="J179" s="26">
        <v>-496657.42</v>
      </c>
      <c r="K179" s="26">
        <v>-2581.9605601763133</v>
      </c>
      <c r="L179" s="26">
        <f t="shared" si="2"/>
        <v>6573976.25</v>
      </c>
      <c r="M179" s="26">
        <v>8061.35</v>
      </c>
    </row>
    <row r="180" spans="1:13" x14ac:dyDescent="0.25">
      <c r="A180" s="30" t="s">
        <v>409</v>
      </c>
      <c r="B180" s="28" t="s">
        <v>227</v>
      </c>
      <c r="C180" s="28" t="s">
        <v>230</v>
      </c>
      <c r="D180" s="29">
        <v>200.9</v>
      </c>
      <c r="E180" s="29">
        <v>62.6</v>
      </c>
      <c r="F180" s="26">
        <v>14199.407144749999</v>
      </c>
      <c r="G180" s="26">
        <v>106665.95</v>
      </c>
      <c r="H180" s="29">
        <v>182</v>
      </c>
      <c r="I180" s="26">
        <v>2959326.85</v>
      </c>
      <c r="J180" s="26">
        <v>-207869.86</v>
      </c>
      <c r="K180" s="26">
        <v>-1080.6478698795775</v>
      </c>
      <c r="L180" s="26">
        <f t="shared" si="2"/>
        <v>2751456.99</v>
      </c>
      <c r="M180" s="26">
        <v>8061.35</v>
      </c>
    </row>
    <row r="181" spans="1:13" x14ac:dyDescent="0.25">
      <c r="A181" s="30" t="s">
        <v>410</v>
      </c>
      <c r="B181" s="28" t="s">
        <v>227</v>
      </c>
      <c r="C181" s="28" t="s">
        <v>231</v>
      </c>
      <c r="D181" s="29">
        <v>62.1</v>
      </c>
      <c r="E181" s="29">
        <v>19.7</v>
      </c>
      <c r="F181" s="26">
        <v>18873.86664384</v>
      </c>
      <c r="G181" s="26">
        <v>44617.82</v>
      </c>
      <c r="H181" s="29">
        <v>59</v>
      </c>
      <c r="I181" s="26">
        <v>1216684.94</v>
      </c>
      <c r="J181" s="26">
        <v>-85462.720000000001</v>
      </c>
      <c r="K181" s="26">
        <v>-444.29292801827393</v>
      </c>
      <c r="L181" s="26">
        <f t="shared" si="2"/>
        <v>1131222.22</v>
      </c>
      <c r="M181" s="26">
        <v>8061.35</v>
      </c>
    </row>
    <row r="182" spans="1:13" x14ac:dyDescent="0.25">
      <c r="L182" s="26">
        <f t="shared" si="2"/>
        <v>0</v>
      </c>
    </row>
    <row r="183" spans="1:13" x14ac:dyDescent="0.25">
      <c r="D183" s="26">
        <v>870082.92500000075</v>
      </c>
      <c r="E183" s="26">
        <v>294126.10000000009</v>
      </c>
      <c r="F183" s="26"/>
      <c r="G183" s="26">
        <v>343051776.52999997</v>
      </c>
      <c r="H183" s="29">
        <v>842793.5</v>
      </c>
      <c r="I183" s="26">
        <v>7739667537.7859411</v>
      </c>
      <c r="J183" s="26">
        <v>-672396893.99999964</v>
      </c>
      <c r="L183" s="26">
        <f t="shared" si="2"/>
        <v>7067270643.7859411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4"/>
  <sheetViews>
    <sheetView workbookViewId="0">
      <pane xSplit="2" ySplit="1" topLeftCell="C8" activePane="bottomRight" state="frozen"/>
      <selection pane="topRight" activeCell="C1" sqref="C1"/>
      <selection pane="bottomLeft" activeCell="A2" sqref="A2"/>
      <selection pane="bottomRight"/>
    </sheetView>
  </sheetViews>
  <sheetFormatPr defaultRowHeight="13.2" x14ac:dyDescent="0.25"/>
  <cols>
    <col min="1" max="1" width="15.109375" style="40" customWidth="1"/>
    <col min="2" max="2" width="15.109375" style="40" bestFit="1" customWidth="1"/>
    <col min="3" max="4" width="18.5546875" style="42" bestFit="1" customWidth="1"/>
    <col min="5" max="5" width="20.109375" style="42" bestFit="1" customWidth="1"/>
    <col min="6" max="6" width="16.44140625" style="44" bestFit="1" customWidth="1"/>
    <col min="7" max="7" width="13.5546875" style="44" bestFit="1" customWidth="1"/>
    <col min="8" max="8" width="17.5546875" style="44" bestFit="1" customWidth="1"/>
    <col min="9" max="9" width="15" style="44" customWidth="1"/>
    <col min="10" max="10" width="15.88671875" style="40" customWidth="1"/>
    <col min="11" max="11" width="17.33203125" style="40" customWidth="1"/>
    <col min="12" max="12" width="18.33203125" style="40" customWidth="1"/>
    <col min="13" max="13" width="19.5546875" style="40" bestFit="1" customWidth="1"/>
    <col min="14" max="15" width="9.109375" style="40"/>
    <col min="16" max="16" width="13.109375" style="40" bestFit="1" customWidth="1"/>
    <col min="17" max="20" width="9.109375" style="40"/>
    <col min="21" max="21" width="14.33203125" style="40" bestFit="1" customWidth="1"/>
    <col min="22" max="22" width="36.6640625" style="40" bestFit="1" customWidth="1"/>
    <col min="23" max="254" width="9.109375" style="40"/>
    <col min="255" max="255" width="15.109375" style="40" customWidth="1"/>
    <col min="256" max="256" width="15.109375" style="40" bestFit="1" customWidth="1"/>
    <col min="257" max="258" width="18.5546875" style="40" bestFit="1" customWidth="1"/>
    <col min="259" max="259" width="16.44140625" style="40" bestFit="1" customWidth="1"/>
    <col min="260" max="260" width="13.5546875" style="40" bestFit="1" customWidth="1"/>
    <col min="261" max="261" width="17.5546875" style="40" bestFit="1" customWidth="1"/>
    <col min="262" max="262" width="17.33203125" style="40" bestFit="1" customWidth="1"/>
    <col min="263" max="263" width="22.5546875" style="40" bestFit="1" customWidth="1"/>
    <col min="264" max="264" width="15.88671875" style="40" bestFit="1" customWidth="1"/>
    <col min="265" max="265" width="17.33203125" style="40" bestFit="1" customWidth="1"/>
    <col min="266" max="266" width="18.33203125" style="40" bestFit="1" customWidth="1"/>
    <col min="267" max="267" width="19.5546875" style="40" bestFit="1" customWidth="1"/>
    <col min="268" max="510" width="9.109375" style="40"/>
    <col min="511" max="511" width="15.109375" style="40" customWidth="1"/>
    <col min="512" max="512" width="15.109375" style="40" bestFit="1" customWidth="1"/>
    <col min="513" max="514" width="18.5546875" style="40" bestFit="1" customWidth="1"/>
    <col min="515" max="515" width="16.44140625" style="40" bestFit="1" customWidth="1"/>
    <col min="516" max="516" width="13.5546875" style="40" bestFit="1" customWidth="1"/>
    <col min="517" max="517" width="17.5546875" style="40" bestFit="1" customWidth="1"/>
    <col min="518" max="518" width="17.33203125" style="40" bestFit="1" customWidth="1"/>
    <col min="519" max="519" width="22.5546875" style="40" bestFit="1" customWidth="1"/>
    <col min="520" max="520" width="15.88671875" style="40" bestFit="1" customWidth="1"/>
    <col min="521" max="521" width="17.33203125" style="40" bestFit="1" customWidth="1"/>
    <col min="522" max="522" width="18.33203125" style="40" bestFit="1" customWidth="1"/>
    <col min="523" max="523" width="19.5546875" style="40" bestFit="1" customWidth="1"/>
    <col min="524" max="766" width="9.109375" style="40"/>
    <col min="767" max="767" width="15.109375" style="40" customWidth="1"/>
    <col min="768" max="768" width="15.109375" style="40" bestFit="1" customWidth="1"/>
    <col min="769" max="770" width="18.5546875" style="40" bestFit="1" customWidth="1"/>
    <col min="771" max="771" width="16.44140625" style="40" bestFit="1" customWidth="1"/>
    <col min="772" max="772" width="13.5546875" style="40" bestFit="1" customWidth="1"/>
    <col min="773" max="773" width="17.5546875" style="40" bestFit="1" customWidth="1"/>
    <col min="774" max="774" width="17.33203125" style="40" bestFit="1" customWidth="1"/>
    <col min="775" max="775" width="22.5546875" style="40" bestFit="1" customWidth="1"/>
    <col min="776" max="776" width="15.88671875" style="40" bestFit="1" customWidth="1"/>
    <col min="777" max="777" width="17.33203125" style="40" bestFit="1" customWidth="1"/>
    <col min="778" max="778" width="18.33203125" style="40" bestFit="1" customWidth="1"/>
    <col min="779" max="779" width="19.5546875" style="40" bestFit="1" customWidth="1"/>
    <col min="780" max="1022" width="9.109375" style="40"/>
    <col min="1023" max="1023" width="15.109375" style="40" customWidth="1"/>
    <col min="1024" max="1024" width="15.109375" style="40" bestFit="1" customWidth="1"/>
    <col min="1025" max="1026" width="18.5546875" style="40" bestFit="1" customWidth="1"/>
    <col min="1027" max="1027" width="16.44140625" style="40" bestFit="1" customWidth="1"/>
    <col min="1028" max="1028" width="13.5546875" style="40" bestFit="1" customWidth="1"/>
    <col min="1029" max="1029" width="17.5546875" style="40" bestFit="1" customWidth="1"/>
    <col min="1030" max="1030" width="17.33203125" style="40" bestFit="1" customWidth="1"/>
    <col min="1031" max="1031" width="22.5546875" style="40" bestFit="1" customWidth="1"/>
    <col min="1032" max="1032" width="15.88671875" style="40" bestFit="1" customWidth="1"/>
    <col min="1033" max="1033" width="17.33203125" style="40" bestFit="1" customWidth="1"/>
    <col min="1034" max="1034" width="18.33203125" style="40" bestFit="1" customWidth="1"/>
    <col min="1035" max="1035" width="19.5546875" style="40" bestFit="1" customWidth="1"/>
    <col min="1036" max="1278" width="9.109375" style="40"/>
    <col min="1279" max="1279" width="15.109375" style="40" customWidth="1"/>
    <col min="1280" max="1280" width="15.109375" style="40" bestFit="1" customWidth="1"/>
    <col min="1281" max="1282" width="18.5546875" style="40" bestFit="1" customWidth="1"/>
    <col min="1283" max="1283" width="16.44140625" style="40" bestFit="1" customWidth="1"/>
    <col min="1284" max="1284" width="13.5546875" style="40" bestFit="1" customWidth="1"/>
    <col min="1285" max="1285" width="17.5546875" style="40" bestFit="1" customWidth="1"/>
    <col min="1286" max="1286" width="17.33203125" style="40" bestFit="1" customWidth="1"/>
    <col min="1287" max="1287" width="22.5546875" style="40" bestFit="1" customWidth="1"/>
    <col min="1288" max="1288" width="15.88671875" style="40" bestFit="1" customWidth="1"/>
    <col min="1289" max="1289" width="17.33203125" style="40" bestFit="1" customWidth="1"/>
    <col min="1290" max="1290" width="18.33203125" style="40" bestFit="1" customWidth="1"/>
    <col min="1291" max="1291" width="19.5546875" style="40" bestFit="1" customWidth="1"/>
    <col min="1292" max="1534" width="9.109375" style="40"/>
    <col min="1535" max="1535" width="15.109375" style="40" customWidth="1"/>
    <col min="1536" max="1536" width="15.109375" style="40" bestFit="1" customWidth="1"/>
    <col min="1537" max="1538" width="18.5546875" style="40" bestFit="1" customWidth="1"/>
    <col min="1539" max="1539" width="16.44140625" style="40" bestFit="1" customWidth="1"/>
    <col min="1540" max="1540" width="13.5546875" style="40" bestFit="1" customWidth="1"/>
    <col min="1541" max="1541" width="17.5546875" style="40" bestFit="1" customWidth="1"/>
    <col min="1542" max="1542" width="17.33203125" style="40" bestFit="1" customWidth="1"/>
    <col min="1543" max="1543" width="22.5546875" style="40" bestFit="1" customWidth="1"/>
    <col min="1544" max="1544" width="15.88671875" style="40" bestFit="1" customWidth="1"/>
    <col min="1545" max="1545" width="17.33203125" style="40" bestFit="1" customWidth="1"/>
    <col min="1546" max="1546" width="18.33203125" style="40" bestFit="1" customWidth="1"/>
    <col min="1547" max="1547" width="19.5546875" style="40" bestFit="1" customWidth="1"/>
    <col min="1548" max="1790" width="9.109375" style="40"/>
    <col min="1791" max="1791" width="15.109375" style="40" customWidth="1"/>
    <col min="1792" max="1792" width="15.109375" style="40" bestFit="1" customWidth="1"/>
    <col min="1793" max="1794" width="18.5546875" style="40" bestFit="1" customWidth="1"/>
    <col min="1795" max="1795" width="16.44140625" style="40" bestFit="1" customWidth="1"/>
    <col min="1796" max="1796" width="13.5546875" style="40" bestFit="1" customWidth="1"/>
    <col min="1797" max="1797" width="17.5546875" style="40" bestFit="1" customWidth="1"/>
    <col min="1798" max="1798" width="17.33203125" style="40" bestFit="1" customWidth="1"/>
    <col min="1799" max="1799" width="22.5546875" style="40" bestFit="1" customWidth="1"/>
    <col min="1800" max="1800" width="15.88671875" style="40" bestFit="1" customWidth="1"/>
    <col min="1801" max="1801" width="17.33203125" style="40" bestFit="1" customWidth="1"/>
    <col min="1802" max="1802" width="18.33203125" style="40" bestFit="1" customWidth="1"/>
    <col min="1803" max="1803" width="19.5546875" style="40" bestFit="1" customWidth="1"/>
    <col min="1804" max="2046" width="9.109375" style="40"/>
    <col min="2047" max="2047" width="15.109375" style="40" customWidth="1"/>
    <col min="2048" max="2048" width="15.109375" style="40" bestFit="1" customWidth="1"/>
    <col min="2049" max="2050" width="18.5546875" style="40" bestFit="1" customWidth="1"/>
    <col min="2051" max="2051" width="16.44140625" style="40" bestFit="1" customWidth="1"/>
    <col min="2052" max="2052" width="13.5546875" style="40" bestFit="1" customWidth="1"/>
    <col min="2053" max="2053" width="17.5546875" style="40" bestFit="1" customWidth="1"/>
    <col min="2054" max="2054" width="17.33203125" style="40" bestFit="1" customWidth="1"/>
    <col min="2055" max="2055" width="22.5546875" style="40" bestFit="1" customWidth="1"/>
    <col min="2056" max="2056" width="15.88671875" style="40" bestFit="1" customWidth="1"/>
    <col min="2057" max="2057" width="17.33203125" style="40" bestFit="1" customWidth="1"/>
    <col min="2058" max="2058" width="18.33203125" style="40" bestFit="1" customWidth="1"/>
    <col min="2059" max="2059" width="19.5546875" style="40" bestFit="1" customWidth="1"/>
    <col min="2060" max="2302" width="9.109375" style="40"/>
    <col min="2303" max="2303" width="15.109375" style="40" customWidth="1"/>
    <col min="2304" max="2304" width="15.109375" style="40" bestFit="1" customWidth="1"/>
    <col min="2305" max="2306" width="18.5546875" style="40" bestFit="1" customWidth="1"/>
    <col min="2307" max="2307" width="16.44140625" style="40" bestFit="1" customWidth="1"/>
    <col min="2308" max="2308" width="13.5546875" style="40" bestFit="1" customWidth="1"/>
    <col min="2309" max="2309" width="17.5546875" style="40" bestFit="1" customWidth="1"/>
    <col min="2310" max="2310" width="17.33203125" style="40" bestFit="1" customWidth="1"/>
    <col min="2311" max="2311" width="22.5546875" style="40" bestFit="1" customWidth="1"/>
    <col min="2312" max="2312" width="15.88671875" style="40" bestFit="1" customWidth="1"/>
    <col min="2313" max="2313" width="17.33203125" style="40" bestFit="1" customWidth="1"/>
    <col min="2314" max="2314" width="18.33203125" style="40" bestFit="1" customWidth="1"/>
    <col min="2315" max="2315" width="19.5546875" style="40" bestFit="1" customWidth="1"/>
    <col min="2316" max="2558" width="9.109375" style="40"/>
    <col min="2559" max="2559" width="15.109375" style="40" customWidth="1"/>
    <col min="2560" max="2560" width="15.109375" style="40" bestFit="1" customWidth="1"/>
    <col min="2561" max="2562" width="18.5546875" style="40" bestFit="1" customWidth="1"/>
    <col min="2563" max="2563" width="16.44140625" style="40" bestFit="1" customWidth="1"/>
    <col min="2564" max="2564" width="13.5546875" style="40" bestFit="1" customWidth="1"/>
    <col min="2565" max="2565" width="17.5546875" style="40" bestFit="1" customWidth="1"/>
    <col min="2566" max="2566" width="17.33203125" style="40" bestFit="1" customWidth="1"/>
    <col min="2567" max="2567" width="22.5546875" style="40" bestFit="1" customWidth="1"/>
    <col min="2568" max="2568" width="15.88671875" style="40" bestFit="1" customWidth="1"/>
    <col min="2569" max="2569" width="17.33203125" style="40" bestFit="1" customWidth="1"/>
    <col min="2570" max="2570" width="18.33203125" style="40" bestFit="1" customWidth="1"/>
    <col min="2571" max="2571" width="19.5546875" style="40" bestFit="1" customWidth="1"/>
    <col min="2572" max="2814" width="9.109375" style="40"/>
    <col min="2815" max="2815" width="15.109375" style="40" customWidth="1"/>
    <col min="2816" max="2816" width="15.109375" style="40" bestFit="1" customWidth="1"/>
    <col min="2817" max="2818" width="18.5546875" style="40" bestFit="1" customWidth="1"/>
    <col min="2819" max="2819" width="16.44140625" style="40" bestFit="1" customWidth="1"/>
    <col min="2820" max="2820" width="13.5546875" style="40" bestFit="1" customWidth="1"/>
    <col min="2821" max="2821" width="17.5546875" style="40" bestFit="1" customWidth="1"/>
    <col min="2822" max="2822" width="17.33203125" style="40" bestFit="1" customWidth="1"/>
    <col min="2823" max="2823" width="22.5546875" style="40" bestFit="1" customWidth="1"/>
    <col min="2824" max="2824" width="15.88671875" style="40" bestFit="1" customWidth="1"/>
    <col min="2825" max="2825" width="17.33203125" style="40" bestFit="1" customWidth="1"/>
    <col min="2826" max="2826" width="18.33203125" style="40" bestFit="1" customWidth="1"/>
    <col min="2827" max="2827" width="19.5546875" style="40" bestFit="1" customWidth="1"/>
    <col min="2828" max="3070" width="9.109375" style="40"/>
    <col min="3071" max="3071" width="15.109375" style="40" customWidth="1"/>
    <col min="3072" max="3072" width="15.109375" style="40" bestFit="1" customWidth="1"/>
    <col min="3073" max="3074" width="18.5546875" style="40" bestFit="1" customWidth="1"/>
    <col min="3075" max="3075" width="16.44140625" style="40" bestFit="1" customWidth="1"/>
    <col min="3076" max="3076" width="13.5546875" style="40" bestFit="1" customWidth="1"/>
    <col min="3077" max="3077" width="17.5546875" style="40" bestFit="1" customWidth="1"/>
    <col min="3078" max="3078" width="17.33203125" style="40" bestFit="1" customWidth="1"/>
    <col min="3079" max="3079" width="22.5546875" style="40" bestFit="1" customWidth="1"/>
    <col min="3080" max="3080" width="15.88671875" style="40" bestFit="1" customWidth="1"/>
    <col min="3081" max="3081" width="17.33203125" style="40" bestFit="1" customWidth="1"/>
    <col min="3082" max="3082" width="18.33203125" style="40" bestFit="1" customWidth="1"/>
    <col min="3083" max="3083" width="19.5546875" style="40" bestFit="1" customWidth="1"/>
    <col min="3084" max="3326" width="9.109375" style="40"/>
    <col min="3327" max="3327" width="15.109375" style="40" customWidth="1"/>
    <col min="3328" max="3328" width="15.109375" style="40" bestFit="1" customWidth="1"/>
    <col min="3329" max="3330" width="18.5546875" style="40" bestFit="1" customWidth="1"/>
    <col min="3331" max="3331" width="16.44140625" style="40" bestFit="1" customWidth="1"/>
    <col min="3332" max="3332" width="13.5546875" style="40" bestFit="1" customWidth="1"/>
    <col min="3333" max="3333" width="17.5546875" style="40" bestFit="1" customWidth="1"/>
    <col min="3334" max="3334" width="17.33203125" style="40" bestFit="1" customWidth="1"/>
    <col min="3335" max="3335" width="22.5546875" style="40" bestFit="1" customWidth="1"/>
    <col min="3336" max="3336" width="15.88671875" style="40" bestFit="1" customWidth="1"/>
    <col min="3337" max="3337" width="17.33203125" style="40" bestFit="1" customWidth="1"/>
    <col min="3338" max="3338" width="18.33203125" style="40" bestFit="1" customWidth="1"/>
    <col min="3339" max="3339" width="19.5546875" style="40" bestFit="1" customWidth="1"/>
    <col min="3340" max="3582" width="9.109375" style="40"/>
    <col min="3583" max="3583" width="15.109375" style="40" customWidth="1"/>
    <col min="3584" max="3584" width="15.109375" style="40" bestFit="1" customWidth="1"/>
    <col min="3585" max="3586" width="18.5546875" style="40" bestFit="1" customWidth="1"/>
    <col min="3587" max="3587" width="16.44140625" style="40" bestFit="1" customWidth="1"/>
    <col min="3588" max="3588" width="13.5546875" style="40" bestFit="1" customWidth="1"/>
    <col min="3589" max="3589" width="17.5546875" style="40" bestFit="1" customWidth="1"/>
    <col min="3590" max="3590" width="17.33203125" style="40" bestFit="1" customWidth="1"/>
    <col min="3591" max="3591" width="22.5546875" style="40" bestFit="1" customWidth="1"/>
    <col min="3592" max="3592" width="15.88671875" style="40" bestFit="1" customWidth="1"/>
    <col min="3593" max="3593" width="17.33203125" style="40" bestFit="1" customWidth="1"/>
    <col min="3594" max="3594" width="18.33203125" style="40" bestFit="1" customWidth="1"/>
    <col min="3595" max="3595" width="19.5546875" style="40" bestFit="1" customWidth="1"/>
    <col min="3596" max="3838" width="9.109375" style="40"/>
    <col min="3839" max="3839" width="15.109375" style="40" customWidth="1"/>
    <col min="3840" max="3840" width="15.109375" style="40" bestFit="1" customWidth="1"/>
    <col min="3841" max="3842" width="18.5546875" style="40" bestFit="1" customWidth="1"/>
    <col min="3843" max="3843" width="16.44140625" style="40" bestFit="1" customWidth="1"/>
    <col min="3844" max="3844" width="13.5546875" style="40" bestFit="1" customWidth="1"/>
    <col min="3845" max="3845" width="17.5546875" style="40" bestFit="1" customWidth="1"/>
    <col min="3846" max="3846" width="17.33203125" style="40" bestFit="1" customWidth="1"/>
    <col min="3847" max="3847" width="22.5546875" style="40" bestFit="1" customWidth="1"/>
    <col min="3848" max="3848" width="15.88671875" style="40" bestFit="1" customWidth="1"/>
    <col min="3849" max="3849" width="17.33203125" style="40" bestFit="1" customWidth="1"/>
    <col min="3850" max="3850" width="18.33203125" style="40" bestFit="1" customWidth="1"/>
    <col min="3851" max="3851" width="19.5546875" style="40" bestFit="1" customWidth="1"/>
    <col min="3852" max="4094" width="9.109375" style="40"/>
    <col min="4095" max="4095" width="15.109375" style="40" customWidth="1"/>
    <col min="4096" max="4096" width="15.109375" style="40" bestFit="1" customWidth="1"/>
    <col min="4097" max="4098" width="18.5546875" style="40" bestFit="1" customWidth="1"/>
    <col min="4099" max="4099" width="16.44140625" style="40" bestFit="1" customWidth="1"/>
    <col min="4100" max="4100" width="13.5546875" style="40" bestFit="1" customWidth="1"/>
    <col min="4101" max="4101" width="17.5546875" style="40" bestFit="1" customWidth="1"/>
    <col min="4102" max="4102" width="17.33203125" style="40" bestFit="1" customWidth="1"/>
    <col min="4103" max="4103" width="22.5546875" style="40" bestFit="1" customWidth="1"/>
    <col min="4104" max="4104" width="15.88671875" style="40" bestFit="1" customWidth="1"/>
    <col min="4105" max="4105" width="17.33203125" style="40" bestFit="1" customWidth="1"/>
    <col min="4106" max="4106" width="18.33203125" style="40" bestFit="1" customWidth="1"/>
    <col min="4107" max="4107" width="19.5546875" style="40" bestFit="1" customWidth="1"/>
    <col min="4108" max="4350" width="9.109375" style="40"/>
    <col min="4351" max="4351" width="15.109375" style="40" customWidth="1"/>
    <col min="4352" max="4352" width="15.109375" style="40" bestFit="1" customWidth="1"/>
    <col min="4353" max="4354" width="18.5546875" style="40" bestFit="1" customWidth="1"/>
    <col min="4355" max="4355" width="16.44140625" style="40" bestFit="1" customWidth="1"/>
    <col min="4356" max="4356" width="13.5546875" style="40" bestFit="1" customWidth="1"/>
    <col min="4357" max="4357" width="17.5546875" style="40" bestFit="1" customWidth="1"/>
    <col min="4358" max="4358" width="17.33203125" style="40" bestFit="1" customWidth="1"/>
    <col min="4359" max="4359" width="22.5546875" style="40" bestFit="1" customWidth="1"/>
    <col min="4360" max="4360" width="15.88671875" style="40" bestFit="1" customWidth="1"/>
    <col min="4361" max="4361" width="17.33203125" style="40" bestFit="1" customWidth="1"/>
    <col min="4362" max="4362" width="18.33203125" style="40" bestFit="1" customWidth="1"/>
    <col min="4363" max="4363" width="19.5546875" style="40" bestFit="1" customWidth="1"/>
    <col min="4364" max="4606" width="9.109375" style="40"/>
    <col min="4607" max="4607" width="15.109375" style="40" customWidth="1"/>
    <col min="4608" max="4608" width="15.109375" style="40" bestFit="1" customWidth="1"/>
    <col min="4609" max="4610" width="18.5546875" style="40" bestFit="1" customWidth="1"/>
    <col min="4611" max="4611" width="16.44140625" style="40" bestFit="1" customWidth="1"/>
    <col min="4612" max="4612" width="13.5546875" style="40" bestFit="1" customWidth="1"/>
    <col min="4613" max="4613" width="17.5546875" style="40" bestFit="1" customWidth="1"/>
    <col min="4614" max="4614" width="17.33203125" style="40" bestFit="1" customWidth="1"/>
    <col min="4615" max="4615" width="22.5546875" style="40" bestFit="1" customWidth="1"/>
    <col min="4616" max="4616" width="15.88671875" style="40" bestFit="1" customWidth="1"/>
    <col min="4617" max="4617" width="17.33203125" style="40" bestFit="1" customWidth="1"/>
    <col min="4618" max="4618" width="18.33203125" style="40" bestFit="1" customWidth="1"/>
    <col min="4619" max="4619" width="19.5546875" style="40" bestFit="1" customWidth="1"/>
    <col min="4620" max="4862" width="9.109375" style="40"/>
    <col min="4863" max="4863" width="15.109375" style="40" customWidth="1"/>
    <col min="4864" max="4864" width="15.109375" style="40" bestFit="1" customWidth="1"/>
    <col min="4865" max="4866" width="18.5546875" style="40" bestFit="1" customWidth="1"/>
    <col min="4867" max="4867" width="16.44140625" style="40" bestFit="1" customWidth="1"/>
    <col min="4868" max="4868" width="13.5546875" style="40" bestFit="1" customWidth="1"/>
    <col min="4869" max="4869" width="17.5546875" style="40" bestFit="1" customWidth="1"/>
    <col min="4870" max="4870" width="17.33203125" style="40" bestFit="1" customWidth="1"/>
    <col min="4871" max="4871" width="22.5546875" style="40" bestFit="1" customWidth="1"/>
    <col min="4872" max="4872" width="15.88671875" style="40" bestFit="1" customWidth="1"/>
    <col min="4873" max="4873" width="17.33203125" style="40" bestFit="1" customWidth="1"/>
    <col min="4874" max="4874" width="18.33203125" style="40" bestFit="1" customWidth="1"/>
    <col min="4875" max="4875" width="19.5546875" style="40" bestFit="1" customWidth="1"/>
    <col min="4876" max="5118" width="9.109375" style="40"/>
    <col min="5119" max="5119" width="15.109375" style="40" customWidth="1"/>
    <col min="5120" max="5120" width="15.109375" style="40" bestFit="1" customWidth="1"/>
    <col min="5121" max="5122" width="18.5546875" style="40" bestFit="1" customWidth="1"/>
    <col min="5123" max="5123" width="16.44140625" style="40" bestFit="1" customWidth="1"/>
    <col min="5124" max="5124" width="13.5546875" style="40" bestFit="1" customWidth="1"/>
    <col min="5125" max="5125" width="17.5546875" style="40" bestFit="1" customWidth="1"/>
    <col min="5126" max="5126" width="17.33203125" style="40" bestFit="1" customWidth="1"/>
    <col min="5127" max="5127" width="22.5546875" style="40" bestFit="1" customWidth="1"/>
    <col min="5128" max="5128" width="15.88671875" style="40" bestFit="1" customWidth="1"/>
    <col min="5129" max="5129" width="17.33203125" style="40" bestFit="1" customWidth="1"/>
    <col min="5130" max="5130" width="18.33203125" style="40" bestFit="1" customWidth="1"/>
    <col min="5131" max="5131" width="19.5546875" style="40" bestFit="1" customWidth="1"/>
    <col min="5132" max="5374" width="9.109375" style="40"/>
    <col min="5375" max="5375" width="15.109375" style="40" customWidth="1"/>
    <col min="5376" max="5376" width="15.109375" style="40" bestFit="1" customWidth="1"/>
    <col min="5377" max="5378" width="18.5546875" style="40" bestFit="1" customWidth="1"/>
    <col min="5379" max="5379" width="16.44140625" style="40" bestFit="1" customWidth="1"/>
    <col min="5380" max="5380" width="13.5546875" style="40" bestFit="1" customWidth="1"/>
    <col min="5381" max="5381" width="17.5546875" style="40" bestFit="1" customWidth="1"/>
    <col min="5382" max="5382" width="17.33203125" style="40" bestFit="1" customWidth="1"/>
    <col min="5383" max="5383" width="22.5546875" style="40" bestFit="1" customWidth="1"/>
    <col min="5384" max="5384" width="15.88671875" style="40" bestFit="1" customWidth="1"/>
    <col min="5385" max="5385" width="17.33203125" style="40" bestFit="1" customWidth="1"/>
    <col min="5386" max="5386" width="18.33203125" style="40" bestFit="1" customWidth="1"/>
    <col min="5387" max="5387" width="19.5546875" style="40" bestFit="1" customWidth="1"/>
    <col min="5388" max="5630" width="9.109375" style="40"/>
    <col min="5631" max="5631" width="15.109375" style="40" customWidth="1"/>
    <col min="5632" max="5632" width="15.109375" style="40" bestFit="1" customWidth="1"/>
    <col min="5633" max="5634" width="18.5546875" style="40" bestFit="1" customWidth="1"/>
    <col min="5635" max="5635" width="16.44140625" style="40" bestFit="1" customWidth="1"/>
    <col min="5636" max="5636" width="13.5546875" style="40" bestFit="1" customWidth="1"/>
    <col min="5637" max="5637" width="17.5546875" style="40" bestFit="1" customWidth="1"/>
    <col min="5638" max="5638" width="17.33203125" style="40" bestFit="1" customWidth="1"/>
    <col min="5639" max="5639" width="22.5546875" style="40" bestFit="1" customWidth="1"/>
    <col min="5640" max="5640" width="15.88671875" style="40" bestFit="1" customWidth="1"/>
    <col min="5641" max="5641" width="17.33203125" style="40" bestFit="1" customWidth="1"/>
    <col min="5642" max="5642" width="18.33203125" style="40" bestFit="1" customWidth="1"/>
    <col min="5643" max="5643" width="19.5546875" style="40" bestFit="1" customWidth="1"/>
    <col min="5644" max="5886" width="9.109375" style="40"/>
    <col min="5887" max="5887" width="15.109375" style="40" customWidth="1"/>
    <col min="5888" max="5888" width="15.109375" style="40" bestFit="1" customWidth="1"/>
    <col min="5889" max="5890" width="18.5546875" style="40" bestFit="1" customWidth="1"/>
    <col min="5891" max="5891" width="16.44140625" style="40" bestFit="1" customWidth="1"/>
    <col min="5892" max="5892" width="13.5546875" style="40" bestFit="1" customWidth="1"/>
    <col min="5893" max="5893" width="17.5546875" style="40" bestFit="1" customWidth="1"/>
    <col min="5894" max="5894" width="17.33203125" style="40" bestFit="1" customWidth="1"/>
    <col min="5895" max="5895" width="22.5546875" style="40" bestFit="1" customWidth="1"/>
    <col min="5896" max="5896" width="15.88671875" style="40" bestFit="1" customWidth="1"/>
    <col min="5897" max="5897" width="17.33203125" style="40" bestFit="1" customWidth="1"/>
    <col min="5898" max="5898" width="18.33203125" style="40" bestFit="1" customWidth="1"/>
    <col min="5899" max="5899" width="19.5546875" style="40" bestFit="1" customWidth="1"/>
    <col min="5900" max="6142" width="9.109375" style="40"/>
    <col min="6143" max="6143" width="15.109375" style="40" customWidth="1"/>
    <col min="6144" max="6144" width="15.109375" style="40" bestFit="1" customWidth="1"/>
    <col min="6145" max="6146" width="18.5546875" style="40" bestFit="1" customWidth="1"/>
    <col min="6147" max="6147" width="16.44140625" style="40" bestFit="1" customWidth="1"/>
    <col min="6148" max="6148" width="13.5546875" style="40" bestFit="1" customWidth="1"/>
    <col min="6149" max="6149" width="17.5546875" style="40" bestFit="1" customWidth="1"/>
    <col min="6150" max="6150" width="17.33203125" style="40" bestFit="1" customWidth="1"/>
    <col min="6151" max="6151" width="22.5546875" style="40" bestFit="1" customWidth="1"/>
    <col min="6152" max="6152" width="15.88671875" style="40" bestFit="1" customWidth="1"/>
    <col min="6153" max="6153" width="17.33203125" style="40" bestFit="1" customWidth="1"/>
    <col min="6154" max="6154" width="18.33203125" style="40" bestFit="1" customWidth="1"/>
    <col min="6155" max="6155" width="19.5546875" style="40" bestFit="1" customWidth="1"/>
    <col min="6156" max="6398" width="9.109375" style="40"/>
    <col min="6399" max="6399" width="15.109375" style="40" customWidth="1"/>
    <col min="6400" max="6400" width="15.109375" style="40" bestFit="1" customWidth="1"/>
    <col min="6401" max="6402" width="18.5546875" style="40" bestFit="1" customWidth="1"/>
    <col min="6403" max="6403" width="16.44140625" style="40" bestFit="1" customWidth="1"/>
    <col min="6404" max="6404" width="13.5546875" style="40" bestFit="1" customWidth="1"/>
    <col min="6405" max="6405" width="17.5546875" style="40" bestFit="1" customWidth="1"/>
    <col min="6406" max="6406" width="17.33203125" style="40" bestFit="1" customWidth="1"/>
    <col min="6407" max="6407" width="22.5546875" style="40" bestFit="1" customWidth="1"/>
    <col min="6408" max="6408" width="15.88671875" style="40" bestFit="1" customWidth="1"/>
    <col min="6409" max="6409" width="17.33203125" style="40" bestFit="1" customWidth="1"/>
    <col min="6410" max="6410" width="18.33203125" style="40" bestFit="1" customWidth="1"/>
    <col min="6411" max="6411" width="19.5546875" style="40" bestFit="1" customWidth="1"/>
    <col min="6412" max="6654" width="9.109375" style="40"/>
    <col min="6655" max="6655" width="15.109375" style="40" customWidth="1"/>
    <col min="6656" max="6656" width="15.109375" style="40" bestFit="1" customWidth="1"/>
    <col min="6657" max="6658" width="18.5546875" style="40" bestFit="1" customWidth="1"/>
    <col min="6659" max="6659" width="16.44140625" style="40" bestFit="1" customWidth="1"/>
    <col min="6660" max="6660" width="13.5546875" style="40" bestFit="1" customWidth="1"/>
    <col min="6661" max="6661" width="17.5546875" style="40" bestFit="1" customWidth="1"/>
    <col min="6662" max="6662" width="17.33203125" style="40" bestFit="1" customWidth="1"/>
    <col min="6663" max="6663" width="22.5546875" style="40" bestFit="1" customWidth="1"/>
    <col min="6664" max="6664" width="15.88671875" style="40" bestFit="1" customWidth="1"/>
    <col min="6665" max="6665" width="17.33203125" style="40" bestFit="1" customWidth="1"/>
    <col min="6666" max="6666" width="18.33203125" style="40" bestFit="1" customWidth="1"/>
    <col min="6667" max="6667" width="19.5546875" style="40" bestFit="1" customWidth="1"/>
    <col min="6668" max="6910" width="9.109375" style="40"/>
    <col min="6911" max="6911" width="15.109375" style="40" customWidth="1"/>
    <col min="6912" max="6912" width="15.109375" style="40" bestFit="1" customWidth="1"/>
    <col min="6913" max="6914" width="18.5546875" style="40" bestFit="1" customWidth="1"/>
    <col min="6915" max="6915" width="16.44140625" style="40" bestFit="1" customWidth="1"/>
    <col min="6916" max="6916" width="13.5546875" style="40" bestFit="1" customWidth="1"/>
    <col min="6917" max="6917" width="17.5546875" style="40" bestFit="1" customWidth="1"/>
    <col min="6918" max="6918" width="17.33203125" style="40" bestFit="1" customWidth="1"/>
    <col min="6919" max="6919" width="22.5546875" style="40" bestFit="1" customWidth="1"/>
    <col min="6920" max="6920" width="15.88671875" style="40" bestFit="1" customWidth="1"/>
    <col min="6921" max="6921" width="17.33203125" style="40" bestFit="1" customWidth="1"/>
    <col min="6922" max="6922" width="18.33203125" style="40" bestFit="1" customWidth="1"/>
    <col min="6923" max="6923" width="19.5546875" style="40" bestFit="1" customWidth="1"/>
    <col min="6924" max="7166" width="9.109375" style="40"/>
    <col min="7167" max="7167" width="15.109375" style="40" customWidth="1"/>
    <col min="7168" max="7168" width="15.109375" style="40" bestFit="1" customWidth="1"/>
    <col min="7169" max="7170" width="18.5546875" style="40" bestFit="1" customWidth="1"/>
    <col min="7171" max="7171" width="16.44140625" style="40" bestFit="1" customWidth="1"/>
    <col min="7172" max="7172" width="13.5546875" style="40" bestFit="1" customWidth="1"/>
    <col min="7173" max="7173" width="17.5546875" style="40" bestFit="1" customWidth="1"/>
    <col min="7174" max="7174" width="17.33203125" style="40" bestFit="1" customWidth="1"/>
    <col min="7175" max="7175" width="22.5546875" style="40" bestFit="1" customWidth="1"/>
    <col min="7176" max="7176" width="15.88671875" style="40" bestFit="1" customWidth="1"/>
    <col min="7177" max="7177" width="17.33203125" style="40" bestFit="1" customWidth="1"/>
    <col min="7178" max="7178" width="18.33203125" style="40" bestFit="1" customWidth="1"/>
    <col min="7179" max="7179" width="19.5546875" style="40" bestFit="1" customWidth="1"/>
    <col min="7180" max="7422" width="9.109375" style="40"/>
    <col min="7423" max="7423" width="15.109375" style="40" customWidth="1"/>
    <col min="7424" max="7424" width="15.109375" style="40" bestFit="1" customWidth="1"/>
    <col min="7425" max="7426" width="18.5546875" style="40" bestFit="1" customWidth="1"/>
    <col min="7427" max="7427" width="16.44140625" style="40" bestFit="1" customWidth="1"/>
    <col min="7428" max="7428" width="13.5546875" style="40" bestFit="1" customWidth="1"/>
    <col min="7429" max="7429" width="17.5546875" style="40" bestFit="1" customWidth="1"/>
    <col min="7430" max="7430" width="17.33203125" style="40" bestFit="1" customWidth="1"/>
    <col min="7431" max="7431" width="22.5546875" style="40" bestFit="1" customWidth="1"/>
    <col min="7432" max="7432" width="15.88671875" style="40" bestFit="1" customWidth="1"/>
    <col min="7433" max="7433" width="17.33203125" style="40" bestFit="1" customWidth="1"/>
    <col min="7434" max="7434" width="18.33203125" style="40" bestFit="1" customWidth="1"/>
    <col min="7435" max="7435" width="19.5546875" style="40" bestFit="1" customWidth="1"/>
    <col min="7436" max="7678" width="9.109375" style="40"/>
    <col min="7679" max="7679" width="15.109375" style="40" customWidth="1"/>
    <col min="7680" max="7680" width="15.109375" style="40" bestFit="1" customWidth="1"/>
    <col min="7681" max="7682" width="18.5546875" style="40" bestFit="1" customWidth="1"/>
    <col min="7683" max="7683" width="16.44140625" style="40" bestFit="1" customWidth="1"/>
    <col min="7684" max="7684" width="13.5546875" style="40" bestFit="1" customWidth="1"/>
    <col min="7685" max="7685" width="17.5546875" style="40" bestFit="1" customWidth="1"/>
    <col min="7686" max="7686" width="17.33203125" style="40" bestFit="1" customWidth="1"/>
    <col min="7687" max="7687" width="22.5546875" style="40" bestFit="1" customWidth="1"/>
    <col min="7688" max="7688" width="15.88671875" style="40" bestFit="1" customWidth="1"/>
    <col min="7689" max="7689" width="17.33203125" style="40" bestFit="1" customWidth="1"/>
    <col min="7690" max="7690" width="18.33203125" style="40" bestFit="1" customWidth="1"/>
    <col min="7691" max="7691" width="19.5546875" style="40" bestFit="1" customWidth="1"/>
    <col min="7692" max="7934" width="9.109375" style="40"/>
    <col min="7935" max="7935" width="15.109375" style="40" customWidth="1"/>
    <col min="7936" max="7936" width="15.109375" style="40" bestFit="1" customWidth="1"/>
    <col min="7937" max="7938" width="18.5546875" style="40" bestFit="1" customWidth="1"/>
    <col min="7939" max="7939" width="16.44140625" style="40" bestFit="1" customWidth="1"/>
    <col min="7940" max="7940" width="13.5546875" style="40" bestFit="1" customWidth="1"/>
    <col min="7941" max="7941" width="17.5546875" style="40" bestFit="1" customWidth="1"/>
    <col min="7942" max="7942" width="17.33203125" style="40" bestFit="1" customWidth="1"/>
    <col min="7943" max="7943" width="22.5546875" style="40" bestFit="1" customWidth="1"/>
    <col min="7944" max="7944" width="15.88671875" style="40" bestFit="1" customWidth="1"/>
    <col min="7945" max="7945" width="17.33203125" style="40" bestFit="1" customWidth="1"/>
    <col min="7946" max="7946" width="18.33203125" style="40" bestFit="1" customWidth="1"/>
    <col min="7947" max="7947" width="19.5546875" style="40" bestFit="1" customWidth="1"/>
    <col min="7948" max="8190" width="9.109375" style="40"/>
    <col min="8191" max="8191" width="15.109375" style="40" customWidth="1"/>
    <col min="8192" max="8192" width="15.109375" style="40" bestFit="1" customWidth="1"/>
    <col min="8193" max="8194" width="18.5546875" style="40" bestFit="1" customWidth="1"/>
    <col min="8195" max="8195" width="16.44140625" style="40" bestFit="1" customWidth="1"/>
    <col min="8196" max="8196" width="13.5546875" style="40" bestFit="1" customWidth="1"/>
    <col min="8197" max="8197" width="17.5546875" style="40" bestFit="1" customWidth="1"/>
    <col min="8198" max="8198" width="17.33203125" style="40" bestFit="1" customWidth="1"/>
    <col min="8199" max="8199" width="22.5546875" style="40" bestFit="1" customWidth="1"/>
    <col min="8200" max="8200" width="15.88671875" style="40" bestFit="1" customWidth="1"/>
    <col min="8201" max="8201" width="17.33203125" style="40" bestFit="1" customWidth="1"/>
    <col min="8202" max="8202" width="18.33203125" style="40" bestFit="1" customWidth="1"/>
    <col min="8203" max="8203" width="19.5546875" style="40" bestFit="1" customWidth="1"/>
    <col min="8204" max="8446" width="9.109375" style="40"/>
    <col min="8447" max="8447" width="15.109375" style="40" customWidth="1"/>
    <col min="8448" max="8448" width="15.109375" style="40" bestFit="1" customWidth="1"/>
    <col min="8449" max="8450" width="18.5546875" style="40" bestFit="1" customWidth="1"/>
    <col min="8451" max="8451" width="16.44140625" style="40" bestFit="1" customWidth="1"/>
    <col min="8452" max="8452" width="13.5546875" style="40" bestFit="1" customWidth="1"/>
    <col min="8453" max="8453" width="17.5546875" style="40" bestFit="1" customWidth="1"/>
    <col min="8454" max="8454" width="17.33203125" style="40" bestFit="1" customWidth="1"/>
    <col min="8455" max="8455" width="22.5546875" style="40" bestFit="1" customWidth="1"/>
    <col min="8456" max="8456" width="15.88671875" style="40" bestFit="1" customWidth="1"/>
    <col min="8457" max="8457" width="17.33203125" style="40" bestFit="1" customWidth="1"/>
    <col min="8458" max="8458" width="18.33203125" style="40" bestFit="1" customWidth="1"/>
    <col min="8459" max="8459" width="19.5546875" style="40" bestFit="1" customWidth="1"/>
    <col min="8460" max="8702" width="9.109375" style="40"/>
    <col min="8703" max="8703" width="15.109375" style="40" customWidth="1"/>
    <col min="8704" max="8704" width="15.109375" style="40" bestFit="1" customWidth="1"/>
    <col min="8705" max="8706" width="18.5546875" style="40" bestFit="1" customWidth="1"/>
    <col min="8707" max="8707" width="16.44140625" style="40" bestFit="1" customWidth="1"/>
    <col min="8708" max="8708" width="13.5546875" style="40" bestFit="1" customWidth="1"/>
    <col min="8709" max="8709" width="17.5546875" style="40" bestFit="1" customWidth="1"/>
    <col min="8710" max="8710" width="17.33203125" style="40" bestFit="1" customWidth="1"/>
    <col min="8711" max="8711" width="22.5546875" style="40" bestFit="1" customWidth="1"/>
    <col min="8712" max="8712" width="15.88671875" style="40" bestFit="1" customWidth="1"/>
    <col min="8713" max="8713" width="17.33203125" style="40" bestFit="1" customWidth="1"/>
    <col min="8714" max="8714" width="18.33203125" style="40" bestFit="1" customWidth="1"/>
    <col min="8715" max="8715" width="19.5546875" style="40" bestFit="1" customWidth="1"/>
    <col min="8716" max="8958" width="9.109375" style="40"/>
    <col min="8959" max="8959" width="15.109375" style="40" customWidth="1"/>
    <col min="8960" max="8960" width="15.109375" style="40" bestFit="1" customWidth="1"/>
    <col min="8961" max="8962" width="18.5546875" style="40" bestFit="1" customWidth="1"/>
    <col min="8963" max="8963" width="16.44140625" style="40" bestFit="1" customWidth="1"/>
    <col min="8964" max="8964" width="13.5546875" style="40" bestFit="1" customWidth="1"/>
    <col min="8965" max="8965" width="17.5546875" style="40" bestFit="1" customWidth="1"/>
    <col min="8966" max="8966" width="17.33203125" style="40" bestFit="1" customWidth="1"/>
    <col min="8967" max="8967" width="22.5546875" style="40" bestFit="1" customWidth="1"/>
    <col min="8968" max="8968" width="15.88671875" style="40" bestFit="1" customWidth="1"/>
    <col min="8969" max="8969" width="17.33203125" style="40" bestFit="1" customWidth="1"/>
    <col min="8970" max="8970" width="18.33203125" style="40" bestFit="1" customWidth="1"/>
    <col min="8971" max="8971" width="19.5546875" style="40" bestFit="1" customWidth="1"/>
    <col min="8972" max="9214" width="9.109375" style="40"/>
    <col min="9215" max="9215" width="15.109375" style="40" customWidth="1"/>
    <col min="9216" max="9216" width="15.109375" style="40" bestFit="1" customWidth="1"/>
    <col min="9217" max="9218" width="18.5546875" style="40" bestFit="1" customWidth="1"/>
    <col min="9219" max="9219" width="16.44140625" style="40" bestFit="1" customWidth="1"/>
    <col min="9220" max="9220" width="13.5546875" style="40" bestFit="1" customWidth="1"/>
    <col min="9221" max="9221" width="17.5546875" style="40" bestFit="1" customWidth="1"/>
    <col min="9222" max="9222" width="17.33203125" style="40" bestFit="1" customWidth="1"/>
    <col min="9223" max="9223" width="22.5546875" style="40" bestFit="1" customWidth="1"/>
    <col min="9224" max="9224" width="15.88671875" style="40" bestFit="1" customWidth="1"/>
    <col min="9225" max="9225" width="17.33203125" style="40" bestFit="1" customWidth="1"/>
    <col min="9226" max="9226" width="18.33203125" style="40" bestFit="1" customWidth="1"/>
    <col min="9227" max="9227" width="19.5546875" style="40" bestFit="1" customWidth="1"/>
    <col min="9228" max="9470" width="9.109375" style="40"/>
    <col min="9471" max="9471" width="15.109375" style="40" customWidth="1"/>
    <col min="9472" max="9472" width="15.109375" style="40" bestFit="1" customWidth="1"/>
    <col min="9473" max="9474" width="18.5546875" style="40" bestFit="1" customWidth="1"/>
    <col min="9475" max="9475" width="16.44140625" style="40" bestFit="1" customWidth="1"/>
    <col min="9476" max="9476" width="13.5546875" style="40" bestFit="1" customWidth="1"/>
    <col min="9477" max="9477" width="17.5546875" style="40" bestFit="1" customWidth="1"/>
    <col min="9478" max="9478" width="17.33203125" style="40" bestFit="1" customWidth="1"/>
    <col min="9479" max="9479" width="22.5546875" style="40" bestFit="1" customWidth="1"/>
    <col min="9480" max="9480" width="15.88671875" style="40" bestFit="1" customWidth="1"/>
    <col min="9481" max="9481" width="17.33203125" style="40" bestFit="1" customWidth="1"/>
    <col min="9482" max="9482" width="18.33203125" style="40" bestFit="1" customWidth="1"/>
    <col min="9483" max="9483" width="19.5546875" style="40" bestFit="1" customWidth="1"/>
    <col min="9484" max="9726" width="9.109375" style="40"/>
    <col min="9727" max="9727" width="15.109375" style="40" customWidth="1"/>
    <col min="9728" max="9728" width="15.109375" style="40" bestFit="1" customWidth="1"/>
    <col min="9729" max="9730" width="18.5546875" style="40" bestFit="1" customWidth="1"/>
    <col min="9731" max="9731" width="16.44140625" style="40" bestFit="1" customWidth="1"/>
    <col min="9732" max="9732" width="13.5546875" style="40" bestFit="1" customWidth="1"/>
    <col min="9733" max="9733" width="17.5546875" style="40" bestFit="1" customWidth="1"/>
    <col min="9734" max="9734" width="17.33203125" style="40" bestFit="1" customWidth="1"/>
    <col min="9735" max="9735" width="22.5546875" style="40" bestFit="1" customWidth="1"/>
    <col min="9736" max="9736" width="15.88671875" style="40" bestFit="1" customWidth="1"/>
    <col min="9737" max="9737" width="17.33203125" style="40" bestFit="1" customWidth="1"/>
    <col min="9738" max="9738" width="18.33203125" style="40" bestFit="1" customWidth="1"/>
    <col min="9739" max="9739" width="19.5546875" style="40" bestFit="1" customWidth="1"/>
    <col min="9740" max="9982" width="9.109375" style="40"/>
    <col min="9983" max="9983" width="15.109375" style="40" customWidth="1"/>
    <col min="9984" max="9984" width="15.109375" style="40" bestFit="1" customWidth="1"/>
    <col min="9985" max="9986" width="18.5546875" style="40" bestFit="1" customWidth="1"/>
    <col min="9987" max="9987" width="16.44140625" style="40" bestFit="1" customWidth="1"/>
    <col min="9988" max="9988" width="13.5546875" style="40" bestFit="1" customWidth="1"/>
    <col min="9989" max="9989" width="17.5546875" style="40" bestFit="1" customWidth="1"/>
    <col min="9990" max="9990" width="17.33203125" style="40" bestFit="1" customWidth="1"/>
    <col min="9991" max="9991" width="22.5546875" style="40" bestFit="1" customWidth="1"/>
    <col min="9992" max="9992" width="15.88671875" style="40" bestFit="1" customWidth="1"/>
    <col min="9993" max="9993" width="17.33203125" style="40" bestFit="1" customWidth="1"/>
    <col min="9994" max="9994" width="18.33203125" style="40" bestFit="1" customWidth="1"/>
    <col min="9995" max="9995" width="19.5546875" style="40" bestFit="1" customWidth="1"/>
    <col min="9996" max="10238" width="9.109375" style="40"/>
    <col min="10239" max="10239" width="15.109375" style="40" customWidth="1"/>
    <col min="10240" max="10240" width="15.109375" style="40" bestFit="1" customWidth="1"/>
    <col min="10241" max="10242" width="18.5546875" style="40" bestFit="1" customWidth="1"/>
    <col min="10243" max="10243" width="16.44140625" style="40" bestFit="1" customWidth="1"/>
    <col min="10244" max="10244" width="13.5546875" style="40" bestFit="1" customWidth="1"/>
    <col min="10245" max="10245" width="17.5546875" style="40" bestFit="1" customWidth="1"/>
    <col min="10246" max="10246" width="17.33203125" style="40" bestFit="1" customWidth="1"/>
    <col min="10247" max="10247" width="22.5546875" style="40" bestFit="1" customWidth="1"/>
    <col min="10248" max="10248" width="15.88671875" style="40" bestFit="1" customWidth="1"/>
    <col min="10249" max="10249" width="17.33203125" style="40" bestFit="1" customWidth="1"/>
    <col min="10250" max="10250" width="18.33203125" style="40" bestFit="1" customWidth="1"/>
    <col min="10251" max="10251" width="19.5546875" style="40" bestFit="1" customWidth="1"/>
    <col min="10252" max="10494" width="9.109375" style="40"/>
    <col min="10495" max="10495" width="15.109375" style="40" customWidth="1"/>
    <col min="10496" max="10496" width="15.109375" style="40" bestFit="1" customWidth="1"/>
    <col min="10497" max="10498" width="18.5546875" style="40" bestFit="1" customWidth="1"/>
    <col min="10499" max="10499" width="16.44140625" style="40" bestFit="1" customWidth="1"/>
    <col min="10500" max="10500" width="13.5546875" style="40" bestFit="1" customWidth="1"/>
    <col min="10501" max="10501" width="17.5546875" style="40" bestFit="1" customWidth="1"/>
    <col min="10502" max="10502" width="17.33203125" style="40" bestFit="1" customWidth="1"/>
    <col min="10503" max="10503" width="22.5546875" style="40" bestFit="1" customWidth="1"/>
    <col min="10504" max="10504" width="15.88671875" style="40" bestFit="1" customWidth="1"/>
    <col min="10505" max="10505" width="17.33203125" style="40" bestFit="1" customWidth="1"/>
    <col min="10506" max="10506" width="18.33203125" style="40" bestFit="1" customWidth="1"/>
    <col min="10507" max="10507" width="19.5546875" style="40" bestFit="1" customWidth="1"/>
    <col min="10508" max="10750" width="9.109375" style="40"/>
    <col min="10751" max="10751" width="15.109375" style="40" customWidth="1"/>
    <col min="10752" max="10752" width="15.109375" style="40" bestFit="1" customWidth="1"/>
    <col min="10753" max="10754" width="18.5546875" style="40" bestFit="1" customWidth="1"/>
    <col min="10755" max="10755" width="16.44140625" style="40" bestFit="1" customWidth="1"/>
    <col min="10756" max="10756" width="13.5546875" style="40" bestFit="1" customWidth="1"/>
    <col min="10757" max="10757" width="17.5546875" style="40" bestFit="1" customWidth="1"/>
    <col min="10758" max="10758" width="17.33203125" style="40" bestFit="1" customWidth="1"/>
    <col min="10759" max="10759" width="22.5546875" style="40" bestFit="1" customWidth="1"/>
    <col min="10760" max="10760" width="15.88671875" style="40" bestFit="1" customWidth="1"/>
    <col min="10761" max="10761" width="17.33203125" style="40" bestFit="1" customWidth="1"/>
    <col min="10762" max="10762" width="18.33203125" style="40" bestFit="1" customWidth="1"/>
    <col min="10763" max="10763" width="19.5546875" style="40" bestFit="1" customWidth="1"/>
    <col min="10764" max="11006" width="9.109375" style="40"/>
    <col min="11007" max="11007" width="15.109375" style="40" customWidth="1"/>
    <col min="11008" max="11008" width="15.109375" style="40" bestFit="1" customWidth="1"/>
    <col min="11009" max="11010" width="18.5546875" style="40" bestFit="1" customWidth="1"/>
    <col min="11011" max="11011" width="16.44140625" style="40" bestFit="1" customWidth="1"/>
    <col min="11012" max="11012" width="13.5546875" style="40" bestFit="1" customWidth="1"/>
    <col min="11013" max="11013" width="17.5546875" style="40" bestFit="1" customWidth="1"/>
    <col min="11014" max="11014" width="17.33203125" style="40" bestFit="1" customWidth="1"/>
    <col min="11015" max="11015" width="22.5546875" style="40" bestFit="1" customWidth="1"/>
    <col min="11016" max="11016" width="15.88671875" style="40" bestFit="1" customWidth="1"/>
    <col min="11017" max="11017" width="17.33203125" style="40" bestFit="1" customWidth="1"/>
    <col min="11018" max="11018" width="18.33203125" style="40" bestFit="1" customWidth="1"/>
    <col min="11019" max="11019" width="19.5546875" style="40" bestFit="1" customWidth="1"/>
    <col min="11020" max="11262" width="9.109375" style="40"/>
    <col min="11263" max="11263" width="15.109375" style="40" customWidth="1"/>
    <col min="11264" max="11264" width="15.109375" style="40" bestFit="1" customWidth="1"/>
    <col min="11265" max="11266" width="18.5546875" style="40" bestFit="1" customWidth="1"/>
    <col min="11267" max="11267" width="16.44140625" style="40" bestFit="1" customWidth="1"/>
    <col min="11268" max="11268" width="13.5546875" style="40" bestFit="1" customWidth="1"/>
    <col min="11269" max="11269" width="17.5546875" style="40" bestFit="1" customWidth="1"/>
    <col min="11270" max="11270" width="17.33203125" style="40" bestFit="1" customWidth="1"/>
    <col min="11271" max="11271" width="22.5546875" style="40" bestFit="1" customWidth="1"/>
    <col min="11272" max="11272" width="15.88671875" style="40" bestFit="1" customWidth="1"/>
    <col min="11273" max="11273" width="17.33203125" style="40" bestFit="1" customWidth="1"/>
    <col min="11274" max="11274" width="18.33203125" style="40" bestFit="1" customWidth="1"/>
    <col min="11275" max="11275" width="19.5546875" style="40" bestFit="1" customWidth="1"/>
    <col min="11276" max="11518" width="9.109375" style="40"/>
    <col min="11519" max="11519" width="15.109375" style="40" customWidth="1"/>
    <col min="11520" max="11520" width="15.109375" style="40" bestFit="1" customWidth="1"/>
    <col min="11521" max="11522" width="18.5546875" style="40" bestFit="1" customWidth="1"/>
    <col min="11523" max="11523" width="16.44140625" style="40" bestFit="1" customWidth="1"/>
    <col min="11524" max="11524" width="13.5546875" style="40" bestFit="1" customWidth="1"/>
    <col min="11525" max="11525" width="17.5546875" style="40" bestFit="1" customWidth="1"/>
    <col min="11526" max="11526" width="17.33203125" style="40" bestFit="1" customWidth="1"/>
    <col min="11527" max="11527" width="22.5546875" style="40" bestFit="1" customWidth="1"/>
    <col min="11528" max="11528" width="15.88671875" style="40" bestFit="1" customWidth="1"/>
    <col min="11529" max="11529" width="17.33203125" style="40" bestFit="1" customWidth="1"/>
    <col min="11530" max="11530" width="18.33203125" style="40" bestFit="1" customWidth="1"/>
    <col min="11531" max="11531" width="19.5546875" style="40" bestFit="1" customWidth="1"/>
    <col min="11532" max="11774" width="9.109375" style="40"/>
    <col min="11775" max="11775" width="15.109375" style="40" customWidth="1"/>
    <col min="11776" max="11776" width="15.109375" style="40" bestFit="1" customWidth="1"/>
    <col min="11777" max="11778" width="18.5546875" style="40" bestFit="1" customWidth="1"/>
    <col min="11779" max="11779" width="16.44140625" style="40" bestFit="1" customWidth="1"/>
    <col min="11780" max="11780" width="13.5546875" style="40" bestFit="1" customWidth="1"/>
    <col min="11781" max="11781" width="17.5546875" style="40" bestFit="1" customWidth="1"/>
    <col min="11782" max="11782" width="17.33203125" style="40" bestFit="1" customWidth="1"/>
    <col min="11783" max="11783" width="22.5546875" style="40" bestFit="1" customWidth="1"/>
    <col min="11784" max="11784" width="15.88671875" style="40" bestFit="1" customWidth="1"/>
    <col min="11785" max="11785" width="17.33203125" style="40" bestFit="1" customWidth="1"/>
    <col min="11786" max="11786" width="18.33203125" style="40" bestFit="1" customWidth="1"/>
    <col min="11787" max="11787" width="19.5546875" style="40" bestFit="1" customWidth="1"/>
    <col min="11788" max="12030" width="9.109375" style="40"/>
    <col min="12031" max="12031" width="15.109375" style="40" customWidth="1"/>
    <col min="12032" max="12032" width="15.109375" style="40" bestFit="1" customWidth="1"/>
    <col min="12033" max="12034" width="18.5546875" style="40" bestFit="1" customWidth="1"/>
    <col min="12035" max="12035" width="16.44140625" style="40" bestFit="1" customWidth="1"/>
    <col min="12036" max="12036" width="13.5546875" style="40" bestFit="1" customWidth="1"/>
    <col min="12037" max="12037" width="17.5546875" style="40" bestFit="1" customWidth="1"/>
    <col min="12038" max="12038" width="17.33203125" style="40" bestFit="1" customWidth="1"/>
    <col min="12039" max="12039" width="22.5546875" style="40" bestFit="1" customWidth="1"/>
    <col min="12040" max="12040" width="15.88671875" style="40" bestFit="1" customWidth="1"/>
    <col min="12041" max="12041" width="17.33203125" style="40" bestFit="1" customWidth="1"/>
    <col min="12042" max="12042" width="18.33203125" style="40" bestFit="1" customWidth="1"/>
    <col min="12043" max="12043" width="19.5546875" style="40" bestFit="1" customWidth="1"/>
    <col min="12044" max="12286" width="9.109375" style="40"/>
    <col min="12287" max="12287" width="15.109375" style="40" customWidth="1"/>
    <col min="12288" max="12288" width="15.109375" style="40" bestFit="1" customWidth="1"/>
    <col min="12289" max="12290" width="18.5546875" style="40" bestFit="1" customWidth="1"/>
    <col min="12291" max="12291" width="16.44140625" style="40" bestFit="1" customWidth="1"/>
    <col min="12292" max="12292" width="13.5546875" style="40" bestFit="1" customWidth="1"/>
    <col min="12293" max="12293" width="17.5546875" style="40" bestFit="1" customWidth="1"/>
    <col min="12294" max="12294" width="17.33203125" style="40" bestFit="1" customWidth="1"/>
    <col min="12295" max="12295" width="22.5546875" style="40" bestFit="1" customWidth="1"/>
    <col min="12296" max="12296" width="15.88671875" style="40" bestFit="1" customWidth="1"/>
    <col min="12297" max="12297" width="17.33203125" style="40" bestFit="1" customWidth="1"/>
    <col min="12298" max="12298" width="18.33203125" style="40" bestFit="1" customWidth="1"/>
    <col min="12299" max="12299" width="19.5546875" style="40" bestFit="1" customWidth="1"/>
    <col min="12300" max="12542" width="9.109375" style="40"/>
    <col min="12543" max="12543" width="15.109375" style="40" customWidth="1"/>
    <col min="12544" max="12544" width="15.109375" style="40" bestFit="1" customWidth="1"/>
    <col min="12545" max="12546" width="18.5546875" style="40" bestFit="1" customWidth="1"/>
    <col min="12547" max="12547" width="16.44140625" style="40" bestFit="1" customWidth="1"/>
    <col min="12548" max="12548" width="13.5546875" style="40" bestFit="1" customWidth="1"/>
    <col min="12549" max="12549" width="17.5546875" style="40" bestFit="1" customWidth="1"/>
    <col min="12550" max="12550" width="17.33203125" style="40" bestFit="1" customWidth="1"/>
    <col min="12551" max="12551" width="22.5546875" style="40" bestFit="1" customWidth="1"/>
    <col min="12552" max="12552" width="15.88671875" style="40" bestFit="1" customWidth="1"/>
    <col min="12553" max="12553" width="17.33203125" style="40" bestFit="1" customWidth="1"/>
    <col min="12554" max="12554" width="18.33203125" style="40" bestFit="1" customWidth="1"/>
    <col min="12555" max="12555" width="19.5546875" style="40" bestFit="1" customWidth="1"/>
    <col min="12556" max="12798" width="9.109375" style="40"/>
    <col min="12799" max="12799" width="15.109375" style="40" customWidth="1"/>
    <col min="12800" max="12800" width="15.109375" style="40" bestFit="1" customWidth="1"/>
    <col min="12801" max="12802" width="18.5546875" style="40" bestFit="1" customWidth="1"/>
    <col min="12803" max="12803" width="16.44140625" style="40" bestFit="1" customWidth="1"/>
    <col min="12804" max="12804" width="13.5546875" style="40" bestFit="1" customWidth="1"/>
    <col min="12805" max="12805" width="17.5546875" style="40" bestFit="1" customWidth="1"/>
    <col min="12806" max="12806" width="17.33203125" style="40" bestFit="1" customWidth="1"/>
    <col min="12807" max="12807" width="22.5546875" style="40" bestFit="1" customWidth="1"/>
    <col min="12808" max="12808" width="15.88671875" style="40" bestFit="1" customWidth="1"/>
    <col min="12809" max="12809" width="17.33203125" style="40" bestFit="1" customWidth="1"/>
    <col min="12810" max="12810" width="18.33203125" style="40" bestFit="1" customWidth="1"/>
    <col min="12811" max="12811" width="19.5546875" style="40" bestFit="1" customWidth="1"/>
    <col min="12812" max="13054" width="9.109375" style="40"/>
    <col min="13055" max="13055" width="15.109375" style="40" customWidth="1"/>
    <col min="13056" max="13056" width="15.109375" style="40" bestFit="1" customWidth="1"/>
    <col min="13057" max="13058" width="18.5546875" style="40" bestFit="1" customWidth="1"/>
    <col min="13059" max="13059" width="16.44140625" style="40" bestFit="1" customWidth="1"/>
    <col min="13060" max="13060" width="13.5546875" style="40" bestFit="1" customWidth="1"/>
    <col min="13061" max="13061" width="17.5546875" style="40" bestFit="1" customWidth="1"/>
    <col min="13062" max="13062" width="17.33203125" style="40" bestFit="1" customWidth="1"/>
    <col min="13063" max="13063" width="22.5546875" style="40" bestFit="1" customWidth="1"/>
    <col min="13064" max="13064" width="15.88671875" style="40" bestFit="1" customWidth="1"/>
    <col min="13065" max="13065" width="17.33203125" style="40" bestFit="1" customWidth="1"/>
    <col min="13066" max="13066" width="18.33203125" style="40" bestFit="1" customWidth="1"/>
    <col min="13067" max="13067" width="19.5546875" style="40" bestFit="1" customWidth="1"/>
    <col min="13068" max="13310" width="9.109375" style="40"/>
    <col min="13311" max="13311" width="15.109375" style="40" customWidth="1"/>
    <col min="13312" max="13312" width="15.109375" style="40" bestFit="1" customWidth="1"/>
    <col min="13313" max="13314" width="18.5546875" style="40" bestFit="1" customWidth="1"/>
    <col min="13315" max="13315" width="16.44140625" style="40" bestFit="1" customWidth="1"/>
    <col min="13316" max="13316" width="13.5546875" style="40" bestFit="1" customWidth="1"/>
    <col min="13317" max="13317" width="17.5546875" style="40" bestFit="1" customWidth="1"/>
    <col min="13318" max="13318" width="17.33203125" style="40" bestFit="1" customWidth="1"/>
    <col min="13319" max="13319" width="22.5546875" style="40" bestFit="1" customWidth="1"/>
    <col min="13320" max="13320" width="15.88671875" style="40" bestFit="1" customWidth="1"/>
    <col min="13321" max="13321" width="17.33203125" style="40" bestFit="1" customWidth="1"/>
    <col min="13322" max="13322" width="18.33203125" style="40" bestFit="1" customWidth="1"/>
    <col min="13323" max="13323" width="19.5546875" style="40" bestFit="1" customWidth="1"/>
    <col min="13324" max="13566" width="9.109375" style="40"/>
    <col min="13567" max="13567" width="15.109375" style="40" customWidth="1"/>
    <col min="13568" max="13568" width="15.109375" style="40" bestFit="1" customWidth="1"/>
    <col min="13569" max="13570" width="18.5546875" style="40" bestFit="1" customWidth="1"/>
    <col min="13571" max="13571" width="16.44140625" style="40" bestFit="1" customWidth="1"/>
    <col min="13572" max="13572" width="13.5546875" style="40" bestFit="1" customWidth="1"/>
    <col min="13573" max="13573" width="17.5546875" style="40" bestFit="1" customWidth="1"/>
    <col min="13574" max="13574" width="17.33203125" style="40" bestFit="1" customWidth="1"/>
    <col min="13575" max="13575" width="22.5546875" style="40" bestFit="1" customWidth="1"/>
    <col min="13576" max="13576" width="15.88671875" style="40" bestFit="1" customWidth="1"/>
    <col min="13577" max="13577" width="17.33203125" style="40" bestFit="1" customWidth="1"/>
    <col min="13578" max="13578" width="18.33203125" style="40" bestFit="1" customWidth="1"/>
    <col min="13579" max="13579" width="19.5546875" style="40" bestFit="1" customWidth="1"/>
    <col min="13580" max="13822" width="9.109375" style="40"/>
    <col min="13823" max="13823" width="15.109375" style="40" customWidth="1"/>
    <col min="13824" max="13824" width="15.109375" style="40" bestFit="1" customWidth="1"/>
    <col min="13825" max="13826" width="18.5546875" style="40" bestFit="1" customWidth="1"/>
    <col min="13827" max="13827" width="16.44140625" style="40" bestFit="1" customWidth="1"/>
    <col min="13828" max="13828" width="13.5546875" style="40" bestFit="1" customWidth="1"/>
    <col min="13829" max="13829" width="17.5546875" style="40" bestFit="1" customWidth="1"/>
    <col min="13830" max="13830" width="17.33203125" style="40" bestFit="1" customWidth="1"/>
    <col min="13831" max="13831" width="22.5546875" style="40" bestFit="1" customWidth="1"/>
    <col min="13832" max="13832" width="15.88671875" style="40" bestFit="1" customWidth="1"/>
    <col min="13833" max="13833" width="17.33203125" style="40" bestFit="1" customWidth="1"/>
    <col min="13834" max="13834" width="18.33203125" style="40" bestFit="1" customWidth="1"/>
    <col min="13835" max="13835" width="19.5546875" style="40" bestFit="1" customWidth="1"/>
    <col min="13836" max="14078" width="9.109375" style="40"/>
    <col min="14079" max="14079" width="15.109375" style="40" customWidth="1"/>
    <col min="14080" max="14080" width="15.109375" style="40" bestFit="1" customWidth="1"/>
    <col min="14081" max="14082" width="18.5546875" style="40" bestFit="1" customWidth="1"/>
    <col min="14083" max="14083" width="16.44140625" style="40" bestFit="1" customWidth="1"/>
    <col min="14084" max="14084" width="13.5546875" style="40" bestFit="1" customWidth="1"/>
    <col min="14085" max="14085" width="17.5546875" style="40" bestFit="1" customWidth="1"/>
    <col min="14086" max="14086" width="17.33203125" style="40" bestFit="1" customWidth="1"/>
    <col min="14087" max="14087" width="22.5546875" style="40" bestFit="1" customWidth="1"/>
    <col min="14088" max="14088" width="15.88671875" style="40" bestFit="1" customWidth="1"/>
    <col min="14089" max="14089" width="17.33203125" style="40" bestFit="1" customWidth="1"/>
    <col min="14090" max="14090" width="18.33203125" style="40" bestFit="1" customWidth="1"/>
    <col min="14091" max="14091" width="19.5546875" style="40" bestFit="1" customWidth="1"/>
    <col min="14092" max="14334" width="9.109375" style="40"/>
    <col min="14335" max="14335" width="15.109375" style="40" customWidth="1"/>
    <col min="14336" max="14336" width="15.109375" style="40" bestFit="1" customWidth="1"/>
    <col min="14337" max="14338" width="18.5546875" style="40" bestFit="1" customWidth="1"/>
    <col min="14339" max="14339" width="16.44140625" style="40" bestFit="1" customWidth="1"/>
    <col min="14340" max="14340" width="13.5546875" style="40" bestFit="1" customWidth="1"/>
    <col min="14341" max="14341" width="17.5546875" style="40" bestFit="1" customWidth="1"/>
    <col min="14342" max="14342" width="17.33203125" style="40" bestFit="1" customWidth="1"/>
    <col min="14343" max="14343" width="22.5546875" style="40" bestFit="1" customWidth="1"/>
    <col min="14344" max="14344" width="15.88671875" style="40" bestFit="1" customWidth="1"/>
    <col min="14345" max="14345" width="17.33203125" style="40" bestFit="1" customWidth="1"/>
    <col min="14346" max="14346" width="18.33203125" style="40" bestFit="1" customWidth="1"/>
    <col min="14347" max="14347" width="19.5546875" style="40" bestFit="1" customWidth="1"/>
    <col min="14348" max="14590" width="9.109375" style="40"/>
    <col min="14591" max="14591" width="15.109375" style="40" customWidth="1"/>
    <col min="14592" max="14592" width="15.109375" style="40" bestFit="1" customWidth="1"/>
    <col min="14593" max="14594" width="18.5546875" style="40" bestFit="1" customWidth="1"/>
    <col min="14595" max="14595" width="16.44140625" style="40" bestFit="1" customWidth="1"/>
    <col min="14596" max="14596" width="13.5546875" style="40" bestFit="1" customWidth="1"/>
    <col min="14597" max="14597" width="17.5546875" style="40" bestFit="1" customWidth="1"/>
    <col min="14598" max="14598" width="17.33203125" style="40" bestFit="1" customWidth="1"/>
    <col min="14599" max="14599" width="22.5546875" style="40" bestFit="1" customWidth="1"/>
    <col min="14600" max="14600" width="15.88671875" style="40" bestFit="1" customWidth="1"/>
    <col min="14601" max="14601" width="17.33203125" style="40" bestFit="1" customWidth="1"/>
    <col min="14602" max="14602" width="18.33203125" style="40" bestFit="1" customWidth="1"/>
    <col min="14603" max="14603" width="19.5546875" style="40" bestFit="1" customWidth="1"/>
    <col min="14604" max="14846" width="9.109375" style="40"/>
    <col min="14847" max="14847" width="15.109375" style="40" customWidth="1"/>
    <col min="14848" max="14848" width="15.109375" style="40" bestFit="1" customWidth="1"/>
    <col min="14849" max="14850" width="18.5546875" style="40" bestFit="1" customWidth="1"/>
    <col min="14851" max="14851" width="16.44140625" style="40" bestFit="1" customWidth="1"/>
    <col min="14852" max="14852" width="13.5546875" style="40" bestFit="1" customWidth="1"/>
    <col min="14853" max="14853" width="17.5546875" style="40" bestFit="1" customWidth="1"/>
    <col min="14854" max="14854" width="17.33203125" style="40" bestFit="1" customWidth="1"/>
    <col min="14855" max="14855" width="22.5546875" style="40" bestFit="1" customWidth="1"/>
    <col min="14856" max="14856" width="15.88671875" style="40" bestFit="1" customWidth="1"/>
    <col min="14857" max="14857" width="17.33203125" style="40" bestFit="1" customWidth="1"/>
    <col min="14858" max="14858" width="18.33203125" style="40" bestFit="1" customWidth="1"/>
    <col min="14859" max="14859" width="19.5546875" style="40" bestFit="1" customWidth="1"/>
    <col min="14860" max="15102" width="9.109375" style="40"/>
    <col min="15103" max="15103" width="15.109375" style="40" customWidth="1"/>
    <col min="15104" max="15104" width="15.109375" style="40" bestFit="1" customWidth="1"/>
    <col min="15105" max="15106" width="18.5546875" style="40" bestFit="1" customWidth="1"/>
    <col min="15107" max="15107" width="16.44140625" style="40" bestFit="1" customWidth="1"/>
    <col min="15108" max="15108" width="13.5546875" style="40" bestFit="1" customWidth="1"/>
    <col min="15109" max="15109" width="17.5546875" style="40" bestFit="1" customWidth="1"/>
    <col min="15110" max="15110" width="17.33203125" style="40" bestFit="1" customWidth="1"/>
    <col min="15111" max="15111" width="22.5546875" style="40" bestFit="1" customWidth="1"/>
    <col min="15112" max="15112" width="15.88671875" style="40" bestFit="1" customWidth="1"/>
    <col min="15113" max="15113" width="17.33203125" style="40" bestFit="1" customWidth="1"/>
    <col min="15114" max="15114" width="18.33203125" style="40" bestFit="1" customWidth="1"/>
    <col min="15115" max="15115" width="19.5546875" style="40" bestFit="1" customWidth="1"/>
    <col min="15116" max="15358" width="9.109375" style="40"/>
    <col min="15359" max="15359" width="15.109375" style="40" customWidth="1"/>
    <col min="15360" max="15360" width="15.109375" style="40" bestFit="1" customWidth="1"/>
    <col min="15361" max="15362" width="18.5546875" style="40" bestFit="1" customWidth="1"/>
    <col min="15363" max="15363" width="16.44140625" style="40" bestFit="1" customWidth="1"/>
    <col min="15364" max="15364" width="13.5546875" style="40" bestFit="1" customWidth="1"/>
    <col min="15365" max="15365" width="17.5546875" style="40" bestFit="1" customWidth="1"/>
    <col min="15366" max="15366" width="17.33203125" style="40" bestFit="1" customWidth="1"/>
    <col min="15367" max="15367" width="22.5546875" style="40" bestFit="1" customWidth="1"/>
    <col min="15368" max="15368" width="15.88671875" style="40" bestFit="1" customWidth="1"/>
    <col min="15369" max="15369" width="17.33203125" style="40" bestFit="1" customWidth="1"/>
    <col min="15370" max="15370" width="18.33203125" style="40" bestFit="1" customWidth="1"/>
    <col min="15371" max="15371" width="19.5546875" style="40" bestFit="1" customWidth="1"/>
    <col min="15372" max="15614" width="9.109375" style="40"/>
    <col min="15615" max="15615" width="15.109375" style="40" customWidth="1"/>
    <col min="15616" max="15616" width="15.109375" style="40" bestFit="1" customWidth="1"/>
    <col min="15617" max="15618" width="18.5546875" style="40" bestFit="1" customWidth="1"/>
    <col min="15619" max="15619" width="16.44140625" style="40" bestFit="1" customWidth="1"/>
    <col min="15620" max="15620" width="13.5546875" style="40" bestFit="1" customWidth="1"/>
    <col min="15621" max="15621" width="17.5546875" style="40" bestFit="1" customWidth="1"/>
    <col min="15622" max="15622" width="17.33203125" style="40" bestFit="1" customWidth="1"/>
    <col min="15623" max="15623" width="22.5546875" style="40" bestFit="1" customWidth="1"/>
    <col min="15624" max="15624" width="15.88671875" style="40" bestFit="1" customWidth="1"/>
    <col min="15625" max="15625" width="17.33203125" style="40" bestFit="1" customWidth="1"/>
    <col min="15626" max="15626" width="18.33203125" style="40" bestFit="1" customWidth="1"/>
    <col min="15627" max="15627" width="19.5546875" style="40" bestFit="1" customWidth="1"/>
    <col min="15628" max="15870" width="9.109375" style="40"/>
    <col min="15871" max="15871" width="15.109375" style="40" customWidth="1"/>
    <col min="15872" max="15872" width="15.109375" style="40" bestFit="1" customWidth="1"/>
    <col min="15873" max="15874" width="18.5546875" style="40" bestFit="1" customWidth="1"/>
    <col min="15875" max="15875" width="16.44140625" style="40" bestFit="1" customWidth="1"/>
    <col min="15876" max="15876" width="13.5546875" style="40" bestFit="1" customWidth="1"/>
    <col min="15877" max="15877" width="17.5546875" style="40" bestFit="1" customWidth="1"/>
    <col min="15878" max="15878" width="17.33203125" style="40" bestFit="1" customWidth="1"/>
    <col min="15879" max="15879" width="22.5546875" style="40" bestFit="1" customWidth="1"/>
    <col min="15880" max="15880" width="15.88671875" style="40" bestFit="1" customWidth="1"/>
    <col min="15881" max="15881" width="17.33203125" style="40" bestFit="1" customWidth="1"/>
    <col min="15882" max="15882" width="18.33203125" style="40" bestFit="1" customWidth="1"/>
    <col min="15883" max="15883" width="19.5546875" style="40" bestFit="1" customWidth="1"/>
    <col min="15884" max="16126" width="9.109375" style="40"/>
    <col min="16127" max="16127" width="15.109375" style="40" customWidth="1"/>
    <col min="16128" max="16128" width="15.109375" style="40" bestFit="1" customWidth="1"/>
    <col min="16129" max="16130" width="18.5546875" style="40" bestFit="1" customWidth="1"/>
    <col min="16131" max="16131" width="16.44140625" style="40" bestFit="1" customWidth="1"/>
    <col min="16132" max="16132" width="13.5546875" style="40" bestFit="1" customWidth="1"/>
    <col min="16133" max="16133" width="17.5546875" style="40" bestFit="1" customWidth="1"/>
    <col min="16134" max="16134" width="17.33203125" style="40" bestFit="1" customWidth="1"/>
    <col min="16135" max="16135" width="22.5546875" style="40" bestFit="1" customWidth="1"/>
    <col min="16136" max="16136" width="15.88671875" style="40" bestFit="1" customWidth="1"/>
    <col min="16137" max="16137" width="17.33203125" style="40" bestFit="1" customWidth="1"/>
    <col min="16138" max="16138" width="18.33203125" style="40" bestFit="1" customWidth="1"/>
    <col min="16139" max="16139" width="19.5546875" style="40" bestFit="1" customWidth="1"/>
    <col min="16140" max="16384" width="9.109375" style="40"/>
  </cols>
  <sheetData>
    <row r="1" spans="1:22" x14ac:dyDescent="0.25">
      <c r="A1" s="35" t="s">
        <v>232</v>
      </c>
      <c r="B1" s="35" t="s">
        <v>435</v>
      </c>
      <c r="C1" s="36" t="s">
        <v>436</v>
      </c>
      <c r="D1" s="36" t="s">
        <v>437</v>
      </c>
      <c r="E1" s="36" t="s">
        <v>438</v>
      </c>
      <c r="F1" s="37" t="s">
        <v>439</v>
      </c>
      <c r="G1" s="37" t="s">
        <v>440</v>
      </c>
      <c r="H1" s="38" t="s">
        <v>441</v>
      </c>
      <c r="I1" s="37" t="s">
        <v>442</v>
      </c>
      <c r="J1" s="37" t="s">
        <v>443</v>
      </c>
      <c r="K1" s="37" t="s">
        <v>444</v>
      </c>
      <c r="L1" s="37" t="s">
        <v>445</v>
      </c>
      <c r="M1" s="37" t="s">
        <v>446</v>
      </c>
      <c r="N1" s="39" t="s">
        <v>447</v>
      </c>
      <c r="O1" s="39" t="s">
        <v>448</v>
      </c>
      <c r="P1" s="39" t="s">
        <v>449</v>
      </c>
      <c r="Q1" s="39"/>
      <c r="U1" s="40" t="s">
        <v>496</v>
      </c>
      <c r="V1" s="40" t="s">
        <v>497</v>
      </c>
    </row>
    <row r="2" spans="1:22" s="39" customFormat="1" x14ac:dyDescent="0.25">
      <c r="A2" s="41" t="s">
        <v>234</v>
      </c>
      <c r="B2" s="41" t="s">
        <v>432</v>
      </c>
      <c r="C2" s="42">
        <v>1839</v>
      </c>
      <c r="D2" s="42">
        <v>134</v>
      </c>
      <c r="E2" s="42">
        <v>0</v>
      </c>
      <c r="F2" s="43">
        <v>0</v>
      </c>
      <c r="G2" s="43">
        <v>0</v>
      </c>
      <c r="H2" s="42">
        <v>0</v>
      </c>
      <c r="I2" s="44">
        <v>0</v>
      </c>
      <c r="J2" s="44">
        <v>135</v>
      </c>
      <c r="K2" s="44">
        <v>251</v>
      </c>
      <c r="L2" s="44">
        <v>1141</v>
      </c>
      <c r="M2" s="44">
        <v>1842</v>
      </c>
      <c r="N2" s="42">
        <f>ROUND(C2+G2+H2+(E2*2*0.08),1)</f>
        <v>1839</v>
      </c>
      <c r="O2" s="40">
        <v>4</v>
      </c>
      <c r="P2" s="44">
        <f t="shared" ref="P2:P48" si="0">K2+O2</f>
        <v>255</v>
      </c>
      <c r="Q2" s="45"/>
      <c r="U2" s="39" t="s">
        <v>432</v>
      </c>
      <c r="V2" s="39" t="s">
        <v>498</v>
      </c>
    </row>
    <row r="3" spans="1:22" s="39" customFormat="1" x14ac:dyDescent="0.25">
      <c r="A3" s="41" t="s">
        <v>234</v>
      </c>
      <c r="B3" s="46" t="s">
        <v>450</v>
      </c>
      <c r="C3" s="42">
        <v>0</v>
      </c>
      <c r="D3" s="42">
        <v>0</v>
      </c>
      <c r="E3" s="42">
        <v>0</v>
      </c>
      <c r="F3" s="43">
        <v>0</v>
      </c>
      <c r="G3" s="43">
        <v>0</v>
      </c>
      <c r="H3" s="42">
        <v>0</v>
      </c>
      <c r="I3" s="42">
        <v>5.5</v>
      </c>
      <c r="J3" s="44">
        <v>0</v>
      </c>
      <c r="K3" s="44">
        <v>0</v>
      </c>
      <c r="L3" s="44">
        <v>0</v>
      </c>
      <c r="M3" s="44">
        <v>0</v>
      </c>
      <c r="N3" s="42">
        <f t="shared" ref="N3:N48" si="1">ROUND(C3+G3+H3+(E3*2*0.08),1)</f>
        <v>0</v>
      </c>
      <c r="O3" s="40">
        <v>0</v>
      </c>
      <c r="P3" s="44">
        <f t="shared" si="0"/>
        <v>0</v>
      </c>
      <c r="Q3" s="45"/>
      <c r="U3" s="39" t="s">
        <v>433</v>
      </c>
      <c r="V3" s="39" t="s">
        <v>499</v>
      </c>
    </row>
    <row r="4" spans="1:22" x14ac:dyDescent="0.25">
      <c r="A4" s="41" t="s">
        <v>234</v>
      </c>
      <c r="B4" s="41" t="s">
        <v>433</v>
      </c>
      <c r="C4" s="42">
        <v>873</v>
      </c>
      <c r="D4" s="42">
        <v>130.5</v>
      </c>
      <c r="E4" s="42">
        <v>1.5</v>
      </c>
      <c r="F4" s="43">
        <v>0</v>
      </c>
      <c r="G4" s="43">
        <v>0</v>
      </c>
      <c r="H4" s="42">
        <v>0</v>
      </c>
      <c r="I4" s="44">
        <v>0</v>
      </c>
      <c r="J4" s="44">
        <v>218</v>
      </c>
      <c r="K4" s="44">
        <v>251</v>
      </c>
      <c r="L4" s="44">
        <v>751</v>
      </c>
      <c r="M4" s="44">
        <v>883</v>
      </c>
      <c r="N4" s="42">
        <f t="shared" si="1"/>
        <v>873.2</v>
      </c>
      <c r="O4" s="40">
        <v>3</v>
      </c>
      <c r="P4" s="44">
        <f t="shared" si="0"/>
        <v>254</v>
      </c>
      <c r="Q4" s="45"/>
      <c r="U4" s="40" t="s">
        <v>434</v>
      </c>
      <c r="V4" s="40" t="s">
        <v>500</v>
      </c>
    </row>
    <row r="5" spans="1:22" x14ac:dyDescent="0.25">
      <c r="A5" s="41" t="s">
        <v>234</v>
      </c>
      <c r="B5" s="41" t="s">
        <v>451</v>
      </c>
      <c r="C5" s="42">
        <v>0</v>
      </c>
      <c r="D5" s="42">
        <v>0</v>
      </c>
      <c r="E5" s="42">
        <v>0</v>
      </c>
      <c r="F5" s="43">
        <v>0</v>
      </c>
      <c r="G5" s="43">
        <v>0</v>
      </c>
      <c r="H5" s="42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2">
        <f t="shared" si="1"/>
        <v>0</v>
      </c>
      <c r="O5" s="40">
        <v>10</v>
      </c>
      <c r="P5" s="44">
        <f t="shared" si="0"/>
        <v>10</v>
      </c>
      <c r="Q5" s="45"/>
      <c r="U5" s="40" t="s">
        <v>460</v>
      </c>
      <c r="V5" s="40" t="s">
        <v>501</v>
      </c>
    </row>
    <row r="6" spans="1:22" x14ac:dyDescent="0.25">
      <c r="A6" s="41" t="s">
        <v>234</v>
      </c>
      <c r="B6" s="41" t="s">
        <v>452</v>
      </c>
      <c r="C6" s="42">
        <v>0</v>
      </c>
      <c r="D6" s="42">
        <v>0</v>
      </c>
      <c r="E6" s="42">
        <v>0</v>
      </c>
      <c r="F6" s="43">
        <v>0</v>
      </c>
      <c r="G6" s="43">
        <v>0</v>
      </c>
      <c r="H6" s="42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2">
        <f t="shared" si="1"/>
        <v>0</v>
      </c>
      <c r="O6" s="40">
        <v>0</v>
      </c>
      <c r="P6" s="44">
        <f t="shared" si="0"/>
        <v>0</v>
      </c>
      <c r="Q6" s="45"/>
      <c r="U6" s="40" t="s">
        <v>462</v>
      </c>
      <c r="V6" s="40" t="s">
        <v>502</v>
      </c>
    </row>
    <row r="7" spans="1:22" x14ac:dyDescent="0.25">
      <c r="A7" s="41" t="s">
        <v>234</v>
      </c>
      <c r="B7" s="41" t="s">
        <v>453</v>
      </c>
      <c r="C7" s="42">
        <v>2016.5</v>
      </c>
      <c r="D7" s="42">
        <v>120</v>
      </c>
      <c r="E7" s="42">
        <v>0</v>
      </c>
      <c r="F7" s="43">
        <v>0</v>
      </c>
      <c r="G7" s="43">
        <v>0</v>
      </c>
      <c r="H7" s="42">
        <v>0</v>
      </c>
      <c r="I7" s="44">
        <v>0</v>
      </c>
      <c r="J7" s="44">
        <v>765</v>
      </c>
      <c r="K7" s="44">
        <v>1117</v>
      </c>
      <c r="L7" s="44">
        <v>1355</v>
      </c>
      <c r="M7" s="44">
        <v>2018</v>
      </c>
      <c r="N7" s="42">
        <f t="shared" si="1"/>
        <v>2016.5</v>
      </c>
      <c r="O7" s="40">
        <v>5</v>
      </c>
      <c r="P7" s="44">
        <f t="shared" si="0"/>
        <v>1122</v>
      </c>
      <c r="Q7" s="45"/>
      <c r="U7" s="40" t="s">
        <v>463</v>
      </c>
      <c r="V7" s="40" t="s">
        <v>503</v>
      </c>
    </row>
    <row r="8" spans="1:22" x14ac:dyDescent="0.25">
      <c r="A8" s="41" t="s">
        <v>235</v>
      </c>
      <c r="B8" s="41" t="s">
        <v>454</v>
      </c>
      <c r="C8" s="42">
        <v>426</v>
      </c>
      <c r="D8" s="42">
        <v>67</v>
      </c>
      <c r="E8" s="42">
        <v>0</v>
      </c>
      <c r="F8" s="43">
        <v>0</v>
      </c>
      <c r="G8" s="43">
        <v>14</v>
      </c>
      <c r="H8" s="42">
        <v>0.5</v>
      </c>
      <c r="I8" s="44">
        <v>0</v>
      </c>
      <c r="J8" s="44">
        <v>206</v>
      </c>
      <c r="K8" s="44">
        <v>237</v>
      </c>
      <c r="L8" s="44">
        <v>359</v>
      </c>
      <c r="M8" s="44">
        <v>426</v>
      </c>
      <c r="N8" s="42">
        <f t="shared" si="1"/>
        <v>440.5</v>
      </c>
      <c r="O8" s="40">
        <v>1</v>
      </c>
      <c r="P8" s="44">
        <f t="shared" si="0"/>
        <v>238</v>
      </c>
      <c r="Q8" s="45"/>
      <c r="U8" s="40" t="s">
        <v>495</v>
      </c>
      <c r="V8" s="40" t="s">
        <v>504</v>
      </c>
    </row>
    <row r="9" spans="1:22" x14ac:dyDescent="0.25">
      <c r="A9" s="41" t="s">
        <v>235</v>
      </c>
      <c r="B9" s="41" t="s">
        <v>455</v>
      </c>
      <c r="C9" s="42">
        <v>123</v>
      </c>
      <c r="D9" s="42">
        <v>0</v>
      </c>
      <c r="E9" s="42">
        <v>0</v>
      </c>
      <c r="F9" s="43">
        <v>0</v>
      </c>
      <c r="G9" s="43">
        <v>0</v>
      </c>
      <c r="H9" s="42">
        <v>0</v>
      </c>
      <c r="I9" s="44">
        <v>0</v>
      </c>
      <c r="J9" s="44">
        <v>0</v>
      </c>
      <c r="K9" s="44">
        <v>72</v>
      </c>
      <c r="L9" s="44">
        <v>0</v>
      </c>
      <c r="M9" s="44">
        <v>123</v>
      </c>
      <c r="N9" s="42">
        <f t="shared" si="1"/>
        <v>123</v>
      </c>
      <c r="O9" s="40">
        <v>0</v>
      </c>
      <c r="P9" s="44">
        <f t="shared" si="0"/>
        <v>72</v>
      </c>
      <c r="Q9" s="45"/>
      <c r="U9" s="40" t="s">
        <v>469</v>
      </c>
      <c r="V9" s="40" t="s">
        <v>505</v>
      </c>
    </row>
    <row r="10" spans="1:22" x14ac:dyDescent="0.25">
      <c r="A10" s="41" t="s">
        <v>235</v>
      </c>
      <c r="B10" s="41" t="s">
        <v>456</v>
      </c>
      <c r="C10" s="42">
        <v>204</v>
      </c>
      <c r="D10" s="42">
        <v>0</v>
      </c>
      <c r="E10" s="42">
        <v>0</v>
      </c>
      <c r="F10" s="43">
        <v>0</v>
      </c>
      <c r="G10" s="43">
        <v>0</v>
      </c>
      <c r="H10" s="42">
        <v>0</v>
      </c>
      <c r="I10" s="44">
        <v>0</v>
      </c>
      <c r="J10" s="44">
        <v>128</v>
      </c>
      <c r="K10" s="44">
        <v>128</v>
      </c>
      <c r="L10" s="44">
        <v>204</v>
      </c>
      <c r="M10" s="44">
        <v>204</v>
      </c>
      <c r="N10" s="42">
        <f t="shared" si="1"/>
        <v>204</v>
      </c>
      <c r="O10" s="40">
        <v>1</v>
      </c>
      <c r="P10" s="44">
        <f t="shared" si="0"/>
        <v>129</v>
      </c>
      <c r="Q10" s="45"/>
      <c r="U10" s="40" t="s">
        <v>470</v>
      </c>
      <c r="V10" s="40" t="s">
        <v>506</v>
      </c>
    </row>
    <row r="11" spans="1:22" x14ac:dyDescent="0.25">
      <c r="A11" s="41" t="s">
        <v>236</v>
      </c>
      <c r="B11" s="41" t="s">
        <v>457</v>
      </c>
      <c r="C11" s="42">
        <v>660</v>
      </c>
      <c r="D11" s="42">
        <v>74</v>
      </c>
      <c r="E11" s="42">
        <v>0</v>
      </c>
      <c r="F11" s="43">
        <v>0</v>
      </c>
      <c r="G11" s="43">
        <v>45</v>
      </c>
      <c r="H11" s="42">
        <v>0</v>
      </c>
      <c r="I11" s="44">
        <v>0</v>
      </c>
      <c r="J11" s="44">
        <v>245</v>
      </c>
      <c r="K11" s="44">
        <v>275</v>
      </c>
      <c r="L11" s="44">
        <v>587</v>
      </c>
      <c r="M11" s="44">
        <v>662</v>
      </c>
      <c r="N11" s="42">
        <f t="shared" si="1"/>
        <v>705</v>
      </c>
      <c r="O11" s="40">
        <v>1</v>
      </c>
      <c r="P11" s="44">
        <f t="shared" si="0"/>
        <v>276</v>
      </c>
      <c r="Q11" s="45"/>
      <c r="U11" s="40" t="s">
        <v>471</v>
      </c>
      <c r="V11" s="40" t="s">
        <v>507</v>
      </c>
    </row>
    <row r="12" spans="1:22" s="50" customFormat="1" ht="14.4" x14ac:dyDescent="0.3">
      <c r="A12" s="46" t="s">
        <v>239</v>
      </c>
      <c r="B12" s="46" t="s">
        <v>343</v>
      </c>
      <c r="C12" s="47">
        <v>469</v>
      </c>
      <c r="D12" s="47">
        <v>54</v>
      </c>
      <c r="E12" s="42">
        <v>0</v>
      </c>
      <c r="F12" s="48">
        <v>0</v>
      </c>
      <c r="G12" s="48">
        <v>0</v>
      </c>
      <c r="H12" s="47">
        <v>0</v>
      </c>
      <c r="I12" s="49">
        <v>0</v>
      </c>
      <c r="J12" s="49">
        <v>136</v>
      </c>
      <c r="K12" s="49">
        <v>157</v>
      </c>
      <c r="L12" s="49">
        <v>415</v>
      </c>
      <c r="M12" s="49">
        <v>469</v>
      </c>
      <c r="N12" s="42">
        <f t="shared" si="1"/>
        <v>469</v>
      </c>
      <c r="O12" s="40">
        <v>2</v>
      </c>
      <c r="P12" s="49">
        <f t="shared" si="0"/>
        <v>159</v>
      </c>
      <c r="Q12" s="45"/>
      <c r="S12" s="51"/>
      <c r="U12" s="50" t="s">
        <v>472</v>
      </c>
      <c r="V12" s="50" t="s">
        <v>508</v>
      </c>
    </row>
    <row r="13" spans="1:22" s="50" customFormat="1" ht="14.4" x14ac:dyDescent="0.3">
      <c r="A13" s="46" t="s">
        <v>239</v>
      </c>
      <c r="B13" s="46" t="s">
        <v>458</v>
      </c>
      <c r="C13" s="47">
        <v>335</v>
      </c>
      <c r="D13" s="47">
        <v>0</v>
      </c>
      <c r="E13" s="42">
        <v>0</v>
      </c>
      <c r="F13" s="48">
        <v>0</v>
      </c>
      <c r="G13" s="48">
        <v>0</v>
      </c>
      <c r="H13" s="47">
        <v>0</v>
      </c>
      <c r="I13" s="49">
        <v>0</v>
      </c>
      <c r="J13" s="49">
        <v>87</v>
      </c>
      <c r="K13" s="49">
        <v>162</v>
      </c>
      <c r="L13" s="49">
        <v>146</v>
      </c>
      <c r="M13" s="49">
        <v>335</v>
      </c>
      <c r="N13" s="42">
        <f t="shared" si="1"/>
        <v>335</v>
      </c>
      <c r="O13" s="40">
        <v>3</v>
      </c>
      <c r="P13" s="49">
        <f t="shared" si="0"/>
        <v>165</v>
      </c>
      <c r="Q13" s="45"/>
      <c r="S13" s="51"/>
      <c r="U13" s="50" t="s">
        <v>473</v>
      </c>
      <c r="V13" s="50" t="s">
        <v>509</v>
      </c>
    </row>
    <row r="14" spans="1:22" s="50" customFormat="1" ht="14.4" x14ac:dyDescent="0.3">
      <c r="A14" s="46" t="s">
        <v>239</v>
      </c>
      <c r="B14" s="46" t="s">
        <v>459</v>
      </c>
      <c r="C14" s="47">
        <v>257</v>
      </c>
      <c r="D14" s="47">
        <v>14</v>
      </c>
      <c r="E14" s="42">
        <v>0</v>
      </c>
      <c r="F14" s="48">
        <v>0</v>
      </c>
      <c r="G14" s="48">
        <v>0</v>
      </c>
      <c r="H14" s="47">
        <v>0</v>
      </c>
      <c r="I14" s="49">
        <v>0</v>
      </c>
      <c r="J14" s="49">
        <v>154</v>
      </c>
      <c r="K14" s="49">
        <v>164</v>
      </c>
      <c r="L14" s="49">
        <v>245</v>
      </c>
      <c r="M14" s="49">
        <v>261</v>
      </c>
      <c r="N14" s="42">
        <f t="shared" si="1"/>
        <v>257</v>
      </c>
      <c r="O14" s="40">
        <v>2</v>
      </c>
      <c r="P14" s="49">
        <f t="shared" si="0"/>
        <v>166</v>
      </c>
      <c r="Q14" s="45"/>
      <c r="S14" s="51"/>
      <c r="U14" s="50" t="s">
        <v>474</v>
      </c>
      <c r="V14" s="50" t="s">
        <v>510</v>
      </c>
    </row>
    <row r="15" spans="1:22" s="50" customFormat="1" ht="14.4" x14ac:dyDescent="0.3">
      <c r="A15" s="46" t="s">
        <v>247</v>
      </c>
      <c r="B15" s="46" t="s">
        <v>460</v>
      </c>
      <c r="C15" s="47">
        <v>342.5</v>
      </c>
      <c r="D15" s="47">
        <v>0</v>
      </c>
      <c r="E15" s="42">
        <v>0</v>
      </c>
      <c r="F15" s="48">
        <v>0</v>
      </c>
      <c r="G15" s="48">
        <v>0</v>
      </c>
      <c r="H15" s="47">
        <v>0</v>
      </c>
      <c r="I15" s="49">
        <v>0</v>
      </c>
      <c r="J15" s="49">
        <v>0</v>
      </c>
      <c r="K15" s="49">
        <v>156</v>
      </c>
      <c r="L15" s="49">
        <v>0</v>
      </c>
      <c r="M15" s="49">
        <v>343</v>
      </c>
      <c r="N15" s="42">
        <f t="shared" si="1"/>
        <v>342.5</v>
      </c>
      <c r="O15" s="40">
        <v>2</v>
      </c>
      <c r="P15" s="49">
        <f t="shared" si="0"/>
        <v>158</v>
      </c>
      <c r="Q15" s="45"/>
      <c r="S15" s="51"/>
      <c r="U15" s="50" t="s">
        <v>475</v>
      </c>
      <c r="V15" s="50" t="s">
        <v>511</v>
      </c>
    </row>
    <row r="16" spans="1:22" s="50" customFormat="1" ht="14.4" x14ac:dyDescent="0.3">
      <c r="A16" s="46" t="s">
        <v>247</v>
      </c>
      <c r="B16" s="46" t="s">
        <v>461</v>
      </c>
      <c r="C16" s="47">
        <v>0</v>
      </c>
      <c r="D16" s="47">
        <v>0</v>
      </c>
      <c r="E16" s="42">
        <v>0</v>
      </c>
      <c r="F16" s="48">
        <v>0</v>
      </c>
      <c r="G16" s="48">
        <v>7</v>
      </c>
      <c r="H16" s="47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2">
        <f t="shared" si="1"/>
        <v>7</v>
      </c>
      <c r="O16" s="40">
        <v>0</v>
      </c>
      <c r="P16" s="49">
        <f t="shared" si="0"/>
        <v>0</v>
      </c>
      <c r="Q16" s="45"/>
      <c r="S16" s="51"/>
      <c r="U16" s="50" t="s">
        <v>478</v>
      </c>
      <c r="V16" s="50" t="s">
        <v>512</v>
      </c>
    </row>
    <row r="17" spans="1:22" s="50" customFormat="1" ht="14.4" x14ac:dyDescent="0.3">
      <c r="A17" s="46" t="s">
        <v>247</v>
      </c>
      <c r="B17" s="46" t="s">
        <v>462</v>
      </c>
      <c r="C17" s="47">
        <v>272</v>
      </c>
      <c r="D17" s="47">
        <v>52</v>
      </c>
      <c r="E17" s="42">
        <v>0</v>
      </c>
      <c r="F17" s="48">
        <v>0</v>
      </c>
      <c r="G17" s="48">
        <v>32.5</v>
      </c>
      <c r="H17" s="47">
        <v>3.5</v>
      </c>
      <c r="I17" s="47">
        <v>0</v>
      </c>
      <c r="J17" s="49">
        <v>113</v>
      </c>
      <c r="K17" s="49">
        <v>135</v>
      </c>
      <c r="L17" s="49">
        <v>221</v>
      </c>
      <c r="M17" s="49">
        <v>273</v>
      </c>
      <c r="N17" s="42">
        <f t="shared" si="1"/>
        <v>308</v>
      </c>
      <c r="O17" s="40">
        <v>0</v>
      </c>
      <c r="P17" s="49">
        <f t="shared" si="0"/>
        <v>135</v>
      </c>
      <c r="Q17" s="45"/>
      <c r="S17" s="51"/>
      <c r="U17" s="50" t="s">
        <v>476</v>
      </c>
      <c r="V17" s="50" t="s">
        <v>513</v>
      </c>
    </row>
    <row r="18" spans="1:22" s="50" customFormat="1" ht="14.4" x14ac:dyDescent="0.3">
      <c r="A18" s="46" t="s">
        <v>247</v>
      </c>
      <c r="B18" s="46" t="s">
        <v>463</v>
      </c>
      <c r="C18" s="47">
        <v>278</v>
      </c>
      <c r="D18" s="47">
        <v>0</v>
      </c>
      <c r="E18" s="42">
        <v>0</v>
      </c>
      <c r="F18" s="48">
        <v>0</v>
      </c>
      <c r="G18" s="48">
        <v>0</v>
      </c>
      <c r="H18" s="47">
        <v>0</v>
      </c>
      <c r="I18" s="47">
        <v>0</v>
      </c>
      <c r="J18" s="49">
        <v>0</v>
      </c>
      <c r="K18" s="49">
        <v>153</v>
      </c>
      <c r="L18" s="49">
        <v>0</v>
      </c>
      <c r="M18" s="49">
        <v>285</v>
      </c>
      <c r="N18" s="42">
        <f t="shared" si="1"/>
        <v>278</v>
      </c>
      <c r="O18" s="40">
        <v>16</v>
      </c>
      <c r="P18" s="49">
        <f t="shared" si="0"/>
        <v>169</v>
      </c>
      <c r="Q18" s="45"/>
      <c r="S18" s="51"/>
      <c r="U18" s="50" t="s">
        <v>477</v>
      </c>
      <c r="V18" s="50" t="s">
        <v>514</v>
      </c>
    </row>
    <row r="19" spans="1:22" s="50" customFormat="1" ht="14.4" x14ac:dyDescent="0.3">
      <c r="A19" s="46" t="s">
        <v>247</v>
      </c>
      <c r="B19" s="46" t="s">
        <v>464</v>
      </c>
      <c r="C19" s="47">
        <v>90</v>
      </c>
      <c r="D19" s="47">
        <v>0</v>
      </c>
      <c r="E19" s="42">
        <v>0</v>
      </c>
      <c r="F19" s="48">
        <v>0</v>
      </c>
      <c r="G19" s="48">
        <v>0</v>
      </c>
      <c r="H19" s="47">
        <v>0</v>
      </c>
      <c r="I19" s="49">
        <v>0</v>
      </c>
      <c r="J19" s="49">
        <v>0</v>
      </c>
      <c r="K19" s="49">
        <v>82</v>
      </c>
      <c r="L19" s="49">
        <v>0</v>
      </c>
      <c r="M19" s="49">
        <v>98</v>
      </c>
      <c r="N19" s="42">
        <f t="shared" si="1"/>
        <v>90</v>
      </c>
      <c r="O19" s="40">
        <v>2</v>
      </c>
      <c r="P19" s="49">
        <f t="shared" si="0"/>
        <v>84</v>
      </c>
      <c r="Q19" s="45"/>
      <c r="S19" s="51"/>
      <c r="U19" s="50" t="s">
        <v>494</v>
      </c>
      <c r="V19" s="50" t="s">
        <v>515</v>
      </c>
    </row>
    <row r="20" spans="1:22" ht="14.4" x14ac:dyDescent="0.3">
      <c r="A20" s="41" t="s">
        <v>260</v>
      </c>
      <c r="B20" s="41" t="s">
        <v>465</v>
      </c>
      <c r="C20" s="42">
        <v>86</v>
      </c>
      <c r="D20" s="42">
        <v>9</v>
      </c>
      <c r="E20" s="42">
        <v>0</v>
      </c>
      <c r="F20" s="43">
        <v>0</v>
      </c>
      <c r="G20" s="43">
        <v>0</v>
      </c>
      <c r="H20" s="42">
        <v>0</v>
      </c>
      <c r="I20" s="44">
        <v>0</v>
      </c>
      <c r="J20" s="44">
        <v>8</v>
      </c>
      <c r="K20" s="44">
        <v>10</v>
      </c>
      <c r="L20" s="44">
        <v>77</v>
      </c>
      <c r="M20" s="44">
        <v>86</v>
      </c>
      <c r="N20" s="42">
        <f t="shared" si="1"/>
        <v>86</v>
      </c>
      <c r="O20" s="40">
        <v>0</v>
      </c>
      <c r="P20" s="44">
        <f t="shared" si="0"/>
        <v>10</v>
      </c>
      <c r="Q20" s="45"/>
      <c r="S20" s="52"/>
      <c r="U20" s="40" t="s">
        <v>457</v>
      </c>
      <c r="V20" s="40" t="s">
        <v>516</v>
      </c>
    </row>
    <row r="21" spans="1:22" s="50" customFormat="1" ht="14.4" x14ac:dyDescent="0.3">
      <c r="A21" s="46" t="s">
        <v>274</v>
      </c>
      <c r="B21" s="46" t="s">
        <v>466</v>
      </c>
      <c r="C21" s="47">
        <v>631</v>
      </c>
      <c r="D21" s="47">
        <v>0</v>
      </c>
      <c r="E21" s="42">
        <v>0</v>
      </c>
      <c r="F21" s="48">
        <v>0</v>
      </c>
      <c r="G21" s="48">
        <v>0</v>
      </c>
      <c r="H21" s="47">
        <v>0</v>
      </c>
      <c r="I21" s="47">
        <v>0</v>
      </c>
      <c r="J21" s="49">
        <v>0</v>
      </c>
      <c r="K21" s="49">
        <v>16</v>
      </c>
      <c r="L21" s="49">
        <v>0</v>
      </c>
      <c r="M21" s="49">
        <v>651</v>
      </c>
      <c r="N21" s="42">
        <f t="shared" si="1"/>
        <v>631</v>
      </c>
      <c r="O21" s="40">
        <v>0</v>
      </c>
      <c r="P21" s="49">
        <f t="shared" si="0"/>
        <v>16</v>
      </c>
      <c r="Q21" s="45"/>
      <c r="S21" s="51"/>
      <c r="U21" s="50" t="s">
        <v>466</v>
      </c>
      <c r="V21" s="50" t="s">
        <v>517</v>
      </c>
    </row>
    <row r="22" spans="1:22" ht="13.5" customHeight="1" x14ac:dyDescent="0.3">
      <c r="A22" s="41" t="s">
        <v>275</v>
      </c>
      <c r="B22" s="41" t="s">
        <v>467</v>
      </c>
      <c r="C22" s="42">
        <v>321</v>
      </c>
      <c r="D22" s="42">
        <v>29</v>
      </c>
      <c r="E22" s="42">
        <v>0</v>
      </c>
      <c r="F22" s="43">
        <v>0</v>
      </c>
      <c r="G22" s="43">
        <v>0</v>
      </c>
      <c r="H22" s="42">
        <v>0</v>
      </c>
      <c r="I22" s="44">
        <v>0</v>
      </c>
      <c r="J22" s="44">
        <v>22</v>
      </c>
      <c r="K22" s="44">
        <v>22</v>
      </c>
      <c r="L22" s="44">
        <v>292</v>
      </c>
      <c r="M22" s="44">
        <v>321</v>
      </c>
      <c r="N22" s="42">
        <f t="shared" si="1"/>
        <v>321</v>
      </c>
      <c r="O22" s="40">
        <v>3</v>
      </c>
      <c r="P22" s="44">
        <f t="shared" si="0"/>
        <v>25</v>
      </c>
      <c r="Q22" s="45"/>
      <c r="S22" s="52"/>
      <c r="U22" s="40" t="s">
        <v>483</v>
      </c>
      <c r="V22" s="40" t="s">
        <v>518</v>
      </c>
    </row>
    <row r="23" spans="1:22" s="50" customFormat="1" ht="14.4" x14ac:dyDescent="0.3">
      <c r="A23" s="46" t="s">
        <v>281</v>
      </c>
      <c r="B23" s="46" t="s">
        <v>468</v>
      </c>
      <c r="C23" s="47">
        <v>0</v>
      </c>
      <c r="D23" s="47">
        <v>0</v>
      </c>
      <c r="E23" s="42">
        <v>0</v>
      </c>
      <c r="F23" s="48">
        <v>0</v>
      </c>
      <c r="G23" s="48">
        <v>0</v>
      </c>
      <c r="H23" s="47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2">
        <f t="shared" si="1"/>
        <v>0</v>
      </c>
      <c r="O23" s="40">
        <v>0</v>
      </c>
      <c r="P23" s="49">
        <f t="shared" si="0"/>
        <v>0</v>
      </c>
      <c r="Q23" s="45"/>
      <c r="S23" s="51"/>
      <c r="U23" s="50" t="s">
        <v>484</v>
      </c>
      <c r="V23" s="50" t="s">
        <v>519</v>
      </c>
    </row>
    <row r="24" spans="1:22" s="50" customFormat="1" ht="14.4" x14ac:dyDescent="0.3">
      <c r="A24" s="46" t="s">
        <v>285</v>
      </c>
      <c r="B24" s="53" t="s">
        <v>469</v>
      </c>
      <c r="C24" s="47">
        <v>220</v>
      </c>
      <c r="D24" s="47">
        <v>43</v>
      </c>
      <c r="E24" s="42">
        <v>0</v>
      </c>
      <c r="F24" s="48">
        <v>0</v>
      </c>
      <c r="G24" s="48">
        <v>0</v>
      </c>
      <c r="H24" s="47">
        <v>0</v>
      </c>
      <c r="I24" s="49">
        <v>-1</v>
      </c>
      <c r="J24" s="49">
        <v>109</v>
      </c>
      <c r="K24" s="49">
        <v>135</v>
      </c>
      <c r="L24" s="49">
        <v>180</v>
      </c>
      <c r="M24" s="49">
        <v>226</v>
      </c>
      <c r="N24" s="42">
        <f t="shared" si="1"/>
        <v>220</v>
      </c>
      <c r="O24" s="40">
        <v>0</v>
      </c>
      <c r="P24" s="49">
        <f t="shared" si="0"/>
        <v>135</v>
      </c>
      <c r="Q24" s="45"/>
      <c r="S24" s="51"/>
      <c r="U24" s="50" t="s">
        <v>467</v>
      </c>
      <c r="V24" s="50" t="s">
        <v>520</v>
      </c>
    </row>
    <row r="25" spans="1:22" s="50" customFormat="1" ht="14.4" x14ac:dyDescent="0.3">
      <c r="A25" s="46" t="s">
        <v>285</v>
      </c>
      <c r="B25" s="53" t="s">
        <v>470</v>
      </c>
      <c r="C25" s="47">
        <v>495.5</v>
      </c>
      <c r="D25" s="47">
        <v>39</v>
      </c>
      <c r="E25" s="42">
        <v>0</v>
      </c>
      <c r="F25" s="48">
        <v>0</v>
      </c>
      <c r="G25" s="48">
        <v>0</v>
      </c>
      <c r="H25" s="47">
        <v>0</v>
      </c>
      <c r="I25" s="49">
        <v>0</v>
      </c>
      <c r="J25" s="49">
        <v>126</v>
      </c>
      <c r="K25" s="49">
        <v>158</v>
      </c>
      <c r="L25" s="49">
        <v>401</v>
      </c>
      <c r="M25" s="49">
        <v>509</v>
      </c>
      <c r="N25" s="42">
        <f t="shared" si="1"/>
        <v>495.5</v>
      </c>
      <c r="O25" s="40">
        <v>1</v>
      </c>
      <c r="P25" s="49">
        <f t="shared" si="0"/>
        <v>159</v>
      </c>
      <c r="Q25" s="45"/>
      <c r="S25" s="51"/>
      <c r="U25" s="50" t="s">
        <v>481</v>
      </c>
      <c r="V25" s="50" t="s">
        <v>521</v>
      </c>
    </row>
    <row r="26" spans="1:22" s="50" customFormat="1" ht="14.4" x14ac:dyDescent="0.3">
      <c r="A26" s="46" t="s">
        <v>285</v>
      </c>
      <c r="B26" s="46" t="s">
        <v>471</v>
      </c>
      <c r="C26" s="47">
        <v>430</v>
      </c>
      <c r="D26" s="47">
        <v>38</v>
      </c>
      <c r="E26" s="42">
        <v>0</v>
      </c>
      <c r="F26" s="48">
        <v>0</v>
      </c>
      <c r="G26" s="48">
        <v>0</v>
      </c>
      <c r="H26" s="47">
        <v>0</v>
      </c>
      <c r="I26" s="49">
        <v>0</v>
      </c>
      <c r="J26" s="49">
        <v>83</v>
      </c>
      <c r="K26" s="49">
        <v>93</v>
      </c>
      <c r="L26" s="49">
        <v>392</v>
      </c>
      <c r="M26" s="49">
        <v>431</v>
      </c>
      <c r="N26" s="42">
        <f t="shared" si="1"/>
        <v>430</v>
      </c>
      <c r="O26" s="40">
        <v>2</v>
      </c>
      <c r="P26" s="49">
        <f t="shared" si="0"/>
        <v>95</v>
      </c>
      <c r="Q26" s="45"/>
      <c r="S26" s="51"/>
      <c r="U26" s="50" t="s">
        <v>482</v>
      </c>
      <c r="V26" s="50" t="s">
        <v>522</v>
      </c>
    </row>
    <row r="27" spans="1:22" s="50" customFormat="1" ht="14.4" x14ac:dyDescent="0.3">
      <c r="A27" s="46" t="s">
        <v>285</v>
      </c>
      <c r="B27" s="46" t="s">
        <v>472</v>
      </c>
      <c r="C27" s="47">
        <v>568.5</v>
      </c>
      <c r="D27" s="47">
        <v>0</v>
      </c>
      <c r="E27" s="42">
        <v>0</v>
      </c>
      <c r="F27" s="48">
        <v>0</v>
      </c>
      <c r="G27" s="48">
        <v>0</v>
      </c>
      <c r="H27" s="47">
        <v>0</v>
      </c>
      <c r="I27" s="49">
        <v>0</v>
      </c>
      <c r="J27" s="49">
        <v>0</v>
      </c>
      <c r="K27" s="49">
        <v>88</v>
      </c>
      <c r="L27" s="49">
        <v>0</v>
      </c>
      <c r="M27" s="49">
        <v>579</v>
      </c>
      <c r="N27" s="42">
        <f t="shared" si="1"/>
        <v>568.5</v>
      </c>
      <c r="O27" s="40">
        <v>2</v>
      </c>
      <c r="P27" s="49">
        <f t="shared" si="0"/>
        <v>90</v>
      </c>
      <c r="Q27" s="45"/>
      <c r="S27" s="51"/>
      <c r="U27" s="50" t="s">
        <v>491</v>
      </c>
      <c r="V27" s="50" t="s">
        <v>523</v>
      </c>
    </row>
    <row r="28" spans="1:22" s="50" customFormat="1" ht="14.4" x14ac:dyDescent="0.3">
      <c r="A28" s="46" t="s">
        <v>285</v>
      </c>
      <c r="B28" s="46" t="s">
        <v>473</v>
      </c>
      <c r="C28" s="47">
        <v>356</v>
      </c>
      <c r="D28" s="47">
        <v>55.5</v>
      </c>
      <c r="E28" s="42">
        <v>6.5</v>
      </c>
      <c r="F28" s="48">
        <v>0</v>
      </c>
      <c r="G28" s="48">
        <v>0</v>
      </c>
      <c r="H28" s="47">
        <v>0</v>
      </c>
      <c r="I28" s="49">
        <v>0</v>
      </c>
      <c r="J28" s="49">
        <v>92</v>
      </c>
      <c r="K28" s="49">
        <v>113</v>
      </c>
      <c r="L28" s="49">
        <v>319</v>
      </c>
      <c r="M28" s="49">
        <v>381</v>
      </c>
      <c r="N28" s="42">
        <f t="shared" si="1"/>
        <v>357</v>
      </c>
      <c r="O28" s="40">
        <v>0</v>
      </c>
      <c r="P28" s="49">
        <f t="shared" si="0"/>
        <v>113</v>
      </c>
      <c r="Q28" s="45"/>
      <c r="S28" s="51"/>
      <c r="U28" s="50" t="s">
        <v>492</v>
      </c>
      <c r="V28" s="50" t="s">
        <v>524</v>
      </c>
    </row>
    <row r="29" spans="1:22" s="50" customFormat="1" ht="14.4" x14ac:dyDescent="0.3">
      <c r="A29" s="46" t="s">
        <v>285</v>
      </c>
      <c r="B29" s="46" t="s">
        <v>474</v>
      </c>
      <c r="C29" s="47">
        <v>326</v>
      </c>
      <c r="D29" s="47">
        <v>51</v>
      </c>
      <c r="E29" s="42">
        <v>0</v>
      </c>
      <c r="F29" s="48">
        <v>0</v>
      </c>
      <c r="G29" s="48">
        <v>0</v>
      </c>
      <c r="H29" s="47">
        <v>0</v>
      </c>
      <c r="I29" s="49">
        <v>0</v>
      </c>
      <c r="J29" s="49">
        <v>99</v>
      </c>
      <c r="K29" s="49">
        <v>124</v>
      </c>
      <c r="L29" s="49">
        <v>275</v>
      </c>
      <c r="M29" s="49">
        <v>326</v>
      </c>
      <c r="N29" s="42">
        <f t="shared" si="1"/>
        <v>326</v>
      </c>
      <c r="O29" s="40">
        <v>1</v>
      </c>
      <c r="P29" s="49">
        <f t="shared" si="0"/>
        <v>125</v>
      </c>
      <c r="Q29" s="45"/>
      <c r="S29" s="51"/>
      <c r="U29" s="50" t="s">
        <v>488</v>
      </c>
      <c r="V29" s="50" t="s">
        <v>525</v>
      </c>
    </row>
    <row r="30" spans="1:22" s="50" customFormat="1" ht="14.4" x14ac:dyDescent="0.3">
      <c r="A30" s="46" t="s">
        <v>285</v>
      </c>
      <c r="B30" s="46" t="s">
        <v>475</v>
      </c>
      <c r="C30" s="47">
        <v>77</v>
      </c>
      <c r="D30" s="47">
        <v>0</v>
      </c>
      <c r="E30" s="42">
        <v>0</v>
      </c>
      <c r="F30" s="48">
        <v>0</v>
      </c>
      <c r="G30" s="48">
        <v>0</v>
      </c>
      <c r="H30" s="47">
        <v>0</v>
      </c>
      <c r="I30" s="49">
        <v>0</v>
      </c>
      <c r="J30" s="49">
        <v>0</v>
      </c>
      <c r="K30" s="49">
        <v>10</v>
      </c>
      <c r="L30" s="49">
        <v>0</v>
      </c>
      <c r="M30" s="49">
        <v>77</v>
      </c>
      <c r="N30" s="42">
        <f t="shared" si="1"/>
        <v>77</v>
      </c>
      <c r="O30" s="40">
        <v>0</v>
      </c>
      <c r="P30" s="49">
        <f t="shared" si="0"/>
        <v>10</v>
      </c>
      <c r="Q30" s="45"/>
      <c r="S30" s="51"/>
      <c r="U30" s="50" t="s">
        <v>489</v>
      </c>
      <c r="V30" s="50" t="s">
        <v>526</v>
      </c>
    </row>
    <row r="31" spans="1:22" s="50" customFormat="1" ht="14.4" x14ac:dyDescent="0.3">
      <c r="A31" s="46" t="s">
        <v>285</v>
      </c>
      <c r="B31" s="46" t="s">
        <v>476</v>
      </c>
      <c r="C31" s="47">
        <v>329.5</v>
      </c>
      <c r="D31" s="47">
        <v>51</v>
      </c>
      <c r="E31" s="42">
        <v>7</v>
      </c>
      <c r="F31" s="48">
        <v>0</v>
      </c>
      <c r="G31" s="48">
        <v>0</v>
      </c>
      <c r="H31" s="47">
        <v>0</v>
      </c>
      <c r="I31" s="49">
        <v>0</v>
      </c>
      <c r="J31" s="49">
        <v>79</v>
      </c>
      <c r="K31" s="49">
        <v>90</v>
      </c>
      <c r="L31" s="49">
        <v>312</v>
      </c>
      <c r="M31" s="49">
        <v>370</v>
      </c>
      <c r="N31" s="42">
        <f t="shared" si="1"/>
        <v>330.6</v>
      </c>
      <c r="O31" s="40">
        <v>1</v>
      </c>
      <c r="P31" s="49">
        <f t="shared" si="0"/>
        <v>91</v>
      </c>
      <c r="Q31" s="45"/>
      <c r="S31" s="51"/>
      <c r="U31" s="50" t="s">
        <v>485</v>
      </c>
      <c r="V31" s="50" t="s">
        <v>527</v>
      </c>
    </row>
    <row r="32" spans="1:22" s="50" customFormat="1" x14ac:dyDescent="0.25">
      <c r="A32" s="46" t="s">
        <v>285</v>
      </c>
      <c r="B32" s="46" t="s">
        <v>477</v>
      </c>
      <c r="C32" s="47">
        <v>850.5</v>
      </c>
      <c r="D32" s="47">
        <v>40.5</v>
      </c>
      <c r="E32" s="42">
        <v>16.5</v>
      </c>
      <c r="F32" s="48">
        <v>0</v>
      </c>
      <c r="G32" s="48">
        <v>0</v>
      </c>
      <c r="H32" s="47">
        <v>0</v>
      </c>
      <c r="I32" s="49">
        <v>0</v>
      </c>
      <c r="J32" s="49">
        <v>103</v>
      </c>
      <c r="K32" s="49">
        <v>136</v>
      </c>
      <c r="L32" s="49">
        <v>573</v>
      </c>
      <c r="M32" s="49">
        <v>867</v>
      </c>
      <c r="N32" s="42">
        <f t="shared" si="1"/>
        <v>853.1</v>
      </c>
      <c r="O32" s="40">
        <v>0</v>
      </c>
      <c r="P32" s="49">
        <f t="shared" si="0"/>
        <v>136</v>
      </c>
      <c r="Q32" s="45"/>
      <c r="U32" s="50" t="s">
        <v>490</v>
      </c>
      <c r="V32" s="50" t="s">
        <v>528</v>
      </c>
    </row>
    <row r="33" spans="1:22" s="50" customFormat="1" x14ac:dyDescent="0.25">
      <c r="A33" s="46" t="s">
        <v>285</v>
      </c>
      <c r="B33" s="46" t="s">
        <v>478</v>
      </c>
      <c r="C33" s="47">
        <v>192</v>
      </c>
      <c r="D33" s="47">
        <v>39</v>
      </c>
      <c r="E33" s="42">
        <v>0</v>
      </c>
      <c r="F33" s="48">
        <v>0</v>
      </c>
      <c r="G33" s="48">
        <v>0</v>
      </c>
      <c r="H33" s="47">
        <v>0</v>
      </c>
      <c r="I33" s="49">
        <v>0</v>
      </c>
      <c r="J33" s="49">
        <v>86</v>
      </c>
      <c r="K33" s="49">
        <v>108</v>
      </c>
      <c r="L33" s="49">
        <v>155</v>
      </c>
      <c r="M33" s="49">
        <v>197</v>
      </c>
      <c r="N33" s="42">
        <f t="shared" si="1"/>
        <v>192</v>
      </c>
      <c r="O33" s="40">
        <v>0</v>
      </c>
      <c r="P33" s="49">
        <f t="shared" si="0"/>
        <v>108</v>
      </c>
      <c r="Q33" s="45"/>
      <c r="U33" s="50" t="s">
        <v>486</v>
      </c>
      <c r="V33" s="50" t="s">
        <v>529</v>
      </c>
    </row>
    <row r="34" spans="1:22" s="50" customFormat="1" x14ac:dyDescent="0.25">
      <c r="A34" s="46" t="s">
        <v>299</v>
      </c>
      <c r="B34" s="46" t="s">
        <v>479</v>
      </c>
      <c r="C34" s="47">
        <v>292</v>
      </c>
      <c r="D34" s="47">
        <v>43</v>
      </c>
      <c r="E34" s="42">
        <v>0</v>
      </c>
      <c r="F34" s="48">
        <v>0</v>
      </c>
      <c r="G34" s="48">
        <v>0</v>
      </c>
      <c r="H34" s="47">
        <v>0</v>
      </c>
      <c r="I34" s="49">
        <v>0</v>
      </c>
      <c r="J34" s="49">
        <v>33</v>
      </c>
      <c r="K34" s="49">
        <v>37</v>
      </c>
      <c r="L34" s="49">
        <v>249</v>
      </c>
      <c r="M34" s="49">
        <v>292</v>
      </c>
      <c r="N34" s="42">
        <f t="shared" si="1"/>
        <v>292</v>
      </c>
      <c r="O34" s="40">
        <v>1</v>
      </c>
      <c r="P34" s="49">
        <f t="shared" si="0"/>
        <v>38</v>
      </c>
      <c r="Q34" s="45"/>
      <c r="U34" s="50" t="s">
        <v>479</v>
      </c>
      <c r="V34" s="50" t="s">
        <v>530</v>
      </c>
    </row>
    <row r="35" spans="1:22" s="50" customFormat="1" x14ac:dyDescent="0.25">
      <c r="A35" s="46" t="s">
        <v>299</v>
      </c>
      <c r="B35" s="46" t="s">
        <v>480</v>
      </c>
      <c r="C35" s="47">
        <v>349</v>
      </c>
      <c r="D35" s="47">
        <v>31</v>
      </c>
      <c r="E35" s="42">
        <v>0</v>
      </c>
      <c r="F35" s="48">
        <v>0</v>
      </c>
      <c r="G35" s="48">
        <v>0</v>
      </c>
      <c r="H35" s="47">
        <v>0</v>
      </c>
      <c r="I35" s="49">
        <v>0</v>
      </c>
      <c r="J35" s="49">
        <v>10</v>
      </c>
      <c r="K35" s="49">
        <v>10</v>
      </c>
      <c r="L35" s="49">
        <v>318</v>
      </c>
      <c r="M35" s="49">
        <v>349</v>
      </c>
      <c r="N35" s="42">
        <f t="shared" si="1"/>
        <v>349</v>
      </c>
      <c r="O35" s="40">
        <v>3</v>
      </c>
      <c r="P35" s="49">
        <f t="shared" si="0"/>
        <v>13</v>
      </c>
      <c r="Q35" s="45"/>
      <c r="U35" s="50" t="s">
        <v>480</v>
      </c>
      <c r="V35" s="50" t="s">
        <v>531</v>
      </c>
    </row>
    <row r="36" spans="1:22" s="50" customFormat="1" x14ac:dyDescent="0.25">
      <c r="A36" s="46" t="s">
        <v>304</v>
      </c>
      <c r="B36" s="46" t="s">
        <v>481</v>
      </c>
      <c r="C36" s="47">
        <v>0</v>
      </c>
      <c r="D36" s="47">
        <v>0</v>
      </c>
      <c r="E36" s="42">
        <v>0</v>
      </c>
      <c r="F36" s="48">
        <v>0</v>
      </c>
      <c r="G36" s="48">
        <v>0</v>
      </c>
      <c r="H36" s="47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2">
        <f t="shared" si="1"/>
        <v>0</v>
      </c>
      <c r="O36" s="40">
        <v>0</v>
      </c>
      <c r="P36" s="49">
        <f t="shared" si="0"/>
        <v>0</v>
      </c>
      <c r="Q36" s="45"/>
      <c r="U36" s="50" t="s">
        <v>465</v>
      </c>
      <c r="V36" s="50" t="s">
        <v>532</v>
      </c>
    </row>
    <row r="37" spans="1:22" s="50" customFormat="1" x14ac:dyDescent="0.25">
      <c r="A37" s="46" t="s">
        <v>310</v>
      </c>
      <c r="B37" s="46" t="s">
        <v>482</v>
      </c>
      <c r="C37" s="47">
        <v>649</v>
      </c>
      <c r="D37" s="47">
        <v>29</v>
      </c>
      <c r="E37" s="42">
        <v>29</v>
      </c>
      <c r="F37" s="48">
        <v>0</v>
      </c>
      <c r="G37" s="48">
        <v>0</v>
      </c>
      <c r="H37" s="47">
        <v>0</v>
      </c>
      <c r="I37" s="49">
        <v>0</v>
      </c>
      <c r="J37" s="49">
        <v>15</v>
      </c>
      <c r="K37" s="49">
        <v>20</v>
      </c>
      <c r="L37" s="49">
        <v>478</v>
      </c>
      <c r="M37" s="49">
        <v>678</v>
      </c>
      <c r="N37" s="42">
        <f t="shared" si="1"/>
        <v>653.6</v>
      </c>
      <c r="O37" s="40">
        <v>2</v>
      </c>
      <c r="P37" s="49">
        <f t="shared" si="0"/>
        <v>22</v>
      </c>
      <c r="Q37" s="45"/>
      <c r="U37" s="50" t="s">
        <v>493</v>
      </c>
      <c r="V37" s="50" t="s">
        <v>533</v>
      </c>
    </row>
    <row r="38" spans="1:22" x14ac:dyDescent="0.25">
      <c r="A38" s="41" t="s">
        <v>319</v>
      </c>
      <c r="B38" s="41" t="s">
        <v>483</v>
      </c>
      <c r="C38" s="42">
        <v>208</v>
      </c>
      <c r="D38" s="42">
        <v>0</v>
      </c>
      <c r="E38" s="42">
        <v>0</v>
      </c>
      <c r="F38" s="43">
        <v>0</v>
      </c>
      <c r="G38" s="43">
        <v>0</v>
      </c>
      <c r="H38" s="42">
        <v>0</v>
      </c>
      <c r="I38" s="44">
        <v>0</v>
      </c>
      <c r="J38" s="44">
        <v>0</v>
      </c>
      <c r="K38" s="44">
        <v>41</v>
      </c>
      <c r="L38" s="44">
        <v>0</v>
      </c>
      <c r="M38" s="44">
        <v>208</v>
      </c>
      <c r="N38" s="42">
        <f t="shared" si="1"/>
        <v>208</v>
      </c>
      <c r="O38" s="40">
        <v>0</v>
      </c>
      <c r="P38" s="44">
        <f t="shared" si="0"/>
        <v>41</v>
      </c>
      <c r="Q38" s="45"/>
      <c r="U38" s="40" t="s">
        <v>343</v>
      </c>
      <c r="V38" s="40" t="s">
        <v>534</v>
      </c>
    </row>
    <row r="39" spans="1:22" x14ac:dyDescent="0.25">
      <c r="A39" s="41" t="s">
        <v>319</v>
      </c>
      <c r="B39" s="41" t="s">
        <v>484</v>
      </c>
      <c r="C39" s="42">
        <v>242.5</v>
      </c>
      <c r="D39" s="42">
        <v>0</v>
      </c>
      <c r="E39" s="42">
        <v>0</v>
      </c>
      <c r="F39" s="43">
        <v>0</v>
      </c>
      <c r="G39" s="43">
        <v>0</v>
      </c>
      <c r="H39" s="42">
        <v>0</v>
      </c>
      <c r="I39" s="44">
        <v>0</v>
      </c>
      <c r="J39" s="44">
        <v>13</v>
      </c>
      <c r="K39" s="44">
        <v>13</v>
      </c>
      <c r="L39" s="44">
        <v>245</v>
      </c>
      <c r="M39" s="44">
        <v>245</v>
      </c>
      <c r="N39" s="42">
        <f t="shared" si="1"/>
        <v>242.5</v>
      </c>
      <c r="O39" s="40">
        <v>0</v>
      </c>
      <c r="P39" s="44">
        <f t="shared" si="0"/>
        <v>13</v>
      </c>
      <c r="Q39" s="45"/>
      <c r="U39" s="40" t="s">
        <v>458</v>
      </c>
      <c r="V39" s="40" t="s">
        <v>535</v>
      </c>
    </row>
    <row r="40" spans="1:22" s="50" customFormat="1" x14ac:dyDescent="0.25">
      <c r="A40" s="46" t="s">
        <v>322</v>
      </c>
      <c r="B40" s="46" t="s">
        <v>485</v>
      </c>
      <c r="C40" s="47">
        <v>205.5</v>
      </c>
      <c r="D40" s="47">
        <v>29.5</v>
      </c>
      <c r="E40" s="47">
        <v>1.5</v>
      </c>
      <c r="F40" s="48">
        <v>0</v>
      </c>
      <c r="G40" s="48">
        <v>0</v>
      </c>
      <c r="H40" s="47">
        <v>0</v>
      </c>
      <c r="I40" s="49">
        <v>0</v>
      </c>
      <c r="J40" s="49">
        <v>60</v>
      </c>
      <c r="K40" s="49">
        <v>66</v>
      </c>
      <c r="L40" s="49">
        <v>181</v>
      </c>
      <c r="M40" s="49">
        <v>212</v>
      </c>
      <c r="N40" s="47">
        <f t="shared" si="1"/>
        <v>205.7</v>
      </c>
      <c r="O40" s="50">
        <v>1</v>
      </c>
      <c r="P40" s="49">
        <f t="shared" si="0"/>
        <v>67</v>
      </c>
      <c r="Q40" s="45"/>
      <c r="U40" s="50" t="s">
        <v>459</v>
      </c>
      <c r="V40" s="50" t="s">
        <v>536</v>
      </c>
    </row>
    <row r="41" spans="1:22" s="50" customFormat="1" x14ac:dyDescent="0.25">
      <c r="A41" s="46" t="s">
        <v>322</v>
      </c>
      <c r="B41" s="46" t="s">
        <v>486</v>
      </c>
      <c r="C41" s="47">
        <v>1285.5</v>
      </c>
      <c r="D41" s="47">
        <v>0</v>
      </c>
      <c r="E41" s="47">
        <v>0</v>
      </c>
      <c r="F41" s="48">
        <v>0</v>
      </c>
      <c r="G41" s="48">
        <v>0</v>
      </c>
      <c r="H41" s="47">
        <v>0</v>
      </c>
      <c r="I41" s="49">
        <v>0</v>
      </c>
      <c r="J41" s="49">
        <v>52</v>
      </c>
      <c r="K41" s="49">
        <v>171</v>
      </c>
      <c r="L41" s="49">
        <v>275</v>
      </c>
      <c r="M41" s="49">
        <v>1319</v>
      </c>
      <c r="N41" s="47">
        <f t="shared" si="1"/>
        <v>1285.5</v>
      </c>
      <c r="O41" s="50">
        <v>2</v>
      </c>
      <c r="P41" s="49">
        <f t="shared" si="0"/>
        <v>173</v>
      </c>
      <c r="Q41" s="45"/>
    </row>
    <row r="42" spans="1:22" s="50" customFormat="1" x14ac:dyDescent="0.25">
      <c r="A42" s="46" t="s">
        <v>322</v>
      </c>
      <c r="B42" s="46" t="s">
        <v>487</v>
      </c>
      <c r="C42" s="47">
        <v>0</v>
      </c>
      <c r="D42" s="47">
        <v>0</v>
      </c>
      <c r="E42" s="47">
        <v>0</v>
      </c>
      <c r="F42" s="48">
        <v>0</v>
      </c>
      <c r="G42" s="48">
        <v>0</v>
      </c>
      <c r="H42" s="47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7">
        <f t="shared" si="1"/>
        <v>0</v>
      </c>
      <c r="O42" s="50">
        <v>0</v>
      </c>
      <c r="P42" s="49">
        <f t="shared" si="0"/>
        <v>0</v>
      </c>
      <c r="Q42" s="45"/>
    </row>
    <row r="43" spans="1:22" s="50" customFormat="1" x14ac:dyDescent="0.25">
      <c r="A43" s="46" t="s">
        <v>322</v>
      </c>
      <c r="B43" s="46" t="s">
        <v>488</v>
      </c>
      <c r="C43" s="47">
        <v>34.5</v>
      </c>
      <c r="D43" s="47">
        <v>0</v>
      </c>
      <c r="E43" s="47">
        <v>0</v>
      </c>
      <c r="F43" s="48">
        <v>0</v>
      </c>
      <c r="G43" s="48">
        <v>0</v>
      </c>
      <c r="H43" s="47">
        <v>0</v>
      </c>
      <c r="I43" s="49">
        <v>0</v>
      </c>
      <c r="J43" s="49">
        <v>13</v>
      </c>
      <c r="K43" s="49">
        <v>13</v>
      </c>
      <c r="L43" s="49">
        <v>35</v>
      </c>
      <c r="M43" s="49">
        <v>35</v>
      </c>
      <c r="N43" s="47">
        <f t="shared" si="1"/>
        <v>34.5</v>
      </c>
      <c r="O43" s="50">
        <v>0</v>
      </c>
      <c r="P43" s="49">
        <f t="shared" si="0"/>
        <v>13</v>
      </c>
      <c r="Q43" s="45"/>
    </row>
    <row r="44" spans="1:22" s="50" customFormat="1" x14ac:dyDescent="0.25">
      <c r="A44" s="46" t="s">
        <v>322</v>
      </c>
      <c r="B44" s="46" t="s">
        <v>489</v>
      </c>
      <c r="C44" s="47">
        <v>182</v>
      </c>
      <c r="D44" s="47">
        <v>46</v>
      </c>
      <c r="E44" s="47">
        <v>2</v>
      </c>
      <c r="F44" s="48">
        <v>0</v>
      </c>
      <c r="G44" s="48">
        <v>0</v>
      </c>
      <c r="H44" s="47">
        <v>0</v>
      </c>
      <c r="I44" s="49">
        <v>0</v>
      </c>
      <c r="J44" s="49">
        <v>48</v>
      </c>
      <c r="K44" s="49">
        <v>59</v>
      </c>
      <c r="L44" s="49">
        <v>155</v>
      </c>
      <c r="M44" s="49">
        <v>203</v>
      </c>
      <c r="N44" s="47">
        <f t="shared" si="1"/>
        <v>182.3</v>
      </c>
      <c r="O44" s="50">
        <v>1</v>
      </c>
      <c r="P44" s="49">
        <f t="shared" si="0"/>
        <v>60</v>
      </c>
      <c r="Q44" s="45"/>
    </row>
    <row r="45" spans="1:22" s="50" customFormat="1" x14ac:dyDescent="0.25">
      <c r="A45" s="46" t="s">
        <v>322</v>
      </c>
      <c r="B45" s="46" t="s">
        <v>490</v>
      </c>
      <c r="C45" s="47">
        <v>114</v>
      </c>
      <c r="D45" s="47">
        <v>8</v>
      </c>
      <c r="E45" s="47">
        <v>8</v>
      </c>
      <c r="F45" s="48">
        <v>0</v>
      </c>
      <c r="G45" s="48">
        <v>0</v>
      </c>
      <c r="H45" s="47">
        <v>0</v>
      </c>
      <c r="I45" s="49">
        <v>0</v>
      </c>
      <c r="J45" s="49">
        <v>5</v>
      </c>
      <c r="K45" s="49">
        <v>5</v>
      </c>
      <c r="L45" s="49">
        <v>149</v>
      </c>
      <c r="M45" s="49">
        <v>185</v>
      </c>
      <c r="N45" s="47">
        <f t="shared" si="1"/>
        <v>115.3</v>
      </c>
      <c r="O45" s="50">
        <v>0</v>
      </c>
      <c r="P45" s="49">
        <f t="shared" si="0"/>
        <v>5</v>
      </c>
      <c r="Q45" s="45"/>
    </row>
    <row r="46" spans="1:22" x14ac:dyDescent="0.25">
      <c r="A46" s="41" t="s">
        <v>340</v>
      </c>
      <c r="B46" s="41" t="s">
        <v>491</v>
      </c>
      <c r="C46" s="42">
        <v>862</v>
      </c>
      <c r="D46" s="42">
        <v>60</v>
      </c>
      <c r="E46" s="42">
        <v>16</v>
      </c>
      <c r="F46" s="54">
        <v>0</v>
      </c>
      <c r="G46" s="43">
        <v>0</v>
      </c>
      <c r="H46" s="42">
        <v>0</v>
      </c>
      <c r="I46" s="44">
        <v>0</v>
      </c>
      <c r="J46" s="44">
        <v>62</v>
      </c>
      <c r="K46" s="44">
        <v>74</v>
      </c>
      <c r="L46" s="44">
        <v>642</v>
      </c>
      <c r="M46" s="44">
        <v>878</v>
      </c>
      <c r="N46" s="42">
        <f t="shared" si="1"/>
        <v>864.6</v>
      </c>
      <c r="O46" s="40">
        <v>2</v>
      </c>
      <c r="P46" s="44">
        <f t="shared" si="0"/>
        <v>76</v>
      </c>
      <c r="Q46" s="45"/>
    </row>
    <row r="47" spans="1:22" x14ac:dyDescent="0.25">
      <c r="A47" s="41" t="s">
        <v>340</v>
      </c>
      <c r="B47" s="55" t="s">
        <v>492</v>
      </c>
      <c r="C47" s="42">
        <v>27</v>
      </c>
      <c r="D47" s="42">
        <v>10</v>
      </c>
      <c r="E47" s="42">
        <v>0</v>
      </c>
      <c r="F47" s="54">
        <v>0</v>
      </c>
      <c r="G47" s="43">
        <v>15</v>
      </c>
      <c r="H47" s="42">
        <v>0</v>
      </c>
      <c r="I47" s="44">
        <v>0</v>
      </c>
      <c r="J47" s="44">
        <v>1</v>
      </c>
      <c r="K47" s="44">
        <v>1</v>
      </c>
      <c r="L47" s="44">
        <v>17</v>
      </c>
      <c r="M47" s="44">
        <v>27</v>
      </c>
      <c r="N47" s="42">
        <f t="shared" si="1"/>
        <v>42</v>
      </c>
      <c r="O47" s="40">
        <v>0</v>
      </c>
      <c r="P47" s="44">
        <f t="shared" si="0"/>
        <v>1</v>
      </c>
    </row>
    <row r="48" spans="1:22" x14ac:dyDescent="0.25">
      <c r="A48" s="41" t="s">
        <v>377</v>
      </c>
      <c r="B48" s="41" t="s">
        <v>493</v>
      </c>
      <c r="C48" s="42">
        <v>120</v>
      </c>
      <c r="D48" s="42">
        <v>28</v>
      </c>
      <c r="E48" s="42">
        <v>0</v>
      </c>
      <c r="F48" s="54">
        <v>0</v>
      </c>
      <c r="G48" s="43">
        <v>0</v>
      </c>
      <c r="H48" s="42">
        <v>0</v>
      </c>
      <c r="I48" s="44">
        <v>0</v>
      </c>
      <c r="J48" s="44">
        <v>4</v>
      </c>
      <c r="K48" s="44">
        <v>5</v>
      </c>
      <c r="L48" s="44">
        <v>92</v>
      </c>
      <c r="M48" s="44">
        <v>120</v>
      </c>
      <c r="N48" s="42">
        <f t="shared" si="1"/>
        <v>120</v>
      </c>
      <c r="O48" s="40">
        <v>0</v>
      </c>
      <c r="P48" s="44">
        <f t="shared" si="0"/>
        <v>5</v>
      </c>
      <c r="Q48" s="45"/>
    </row>
    <row r="49" spans="1:17" x14ac:dyDescent="0.25">
      <c r="J49" s="44"/>
      <c r="K49" s="44"/>
      <c r="L49" s="44"/>
      <c r="M49" s="44"/>
      <c r="Q49" s="45"/>
    </row>
    <row r="50" spans="1:17" x14ac:dyDescent="0.25">
      <c r="J50" s="44"/>
      <c r="K50" s="44"/>
      <c r="L50" s="44"/>
      <c r="M50" s="44"/>
      <c r="N50" s="42">
        <f>SUM(N2:N49)</f>
        <v>17770.400000000001</v>
      </c>
      <c r="O50" s="40">
        <f>SUM(O2:O48)</f>
        <v>74</v>
      </c>
      <c r="P50" s="44">
        <f>SUM(P2:P48)</f>
        <v>5032</v>
      </c>
      <c r="Q50" s="45"/>
    </row>
    <row r="51" spans="1:17" x14ac:dyDescent="0.25">
      <c r="J51" s="44"/>
      <c r="K51" s="44"/>
      <c r="L51" s="44"/>
      <c r="M51" s="44"/>
      <c r="Q51" s="45"/>
    </row>
    <row r="52" spans="1:17" x14ac:dyDescent="0.25">
      <c r="J52" s="44"/>
      <c r="K52" s="44"/>
      <c r="L52" s="44"/>
      <c r="M52" s="44"/>
      <c r="Q52" s="45"/>
    </row>
    <row r="53" spans="1:17" x14ac:dyDescent="0.25">
      <c r="A53" s="40" t="s">
        <v>234</v>
      </c>
      <c r="B53" s="55" t="s">
        <v>434</v>
      </c>
      <c r="C53" s="42">
        <f>SUMIF($B$2:$B$48,"0654",C2:C48)+SUMIF($B$2:$B$48,"6913",C2:C48)+SUMIF($B$2:$B$48,"6914",C2:C48)</f>
        <v>2016.5</v>
      </c>
      <c r="D53" s="42">
        <f t="shared" ref="D53:M53" si="2">SUMIF($B$2:$B$48,"0654",D2:D48)+SUMIF($B$2:$B$48,"6913",D2:D48)+SUMIF($B$2:$B$48,"6914",D2:D48)</f>
        <v>120</v>
      </c>
      <c r="E53" s="42">
        <f t="shared" si="2"/>
        <v>0</v>
      </c>
      <c r="F53" s="42">
        <f t="shared" si="2"/>
        <v>0</v>
      </c>
      <c r="G53" s="42">
        <f t="shared" si="2"/>
        <v>0</v>
      </c>
      <c r="H53" s="42">
        <f t="shared" si="2"/>
        <v>0</v>
      </c>
      <c r="I53" s="42">
        <f t="shared" si="2"/>
        <v>5.5</v>
      </c>
      <c r="J53" s="42">
        <f t="shared" si="2"/>
        <v>765</v>
      </c>
      <c r="K53" s="42">
        <f t="shared" si="2"/>
        <v>1117</v>
      </c>
      <c r="L53" s="42">
        <f t="shared" si="2"/>
        <v>1355</v>
      </c>
      <c r="M53" s="42">
        <f t="shared" si="2"/>
        <v>2018</v>
      </c>
      <c r="N53" s="42">
        <f t="shared" ref="N53:N55" si="3">ROUND(C53+G53+H53+(E53*2*0.08),1)</f>
        <v>2016.5</v>
      </c>
      <c r="O53" s="42">
        <f t="shared" ref="O53" si="4">SUMIF($B$2:$B$48,"0654",O2:O48)+SUMIF($B$2:$B$48,"6913",O2:O48)+SUMIF($B$2:$B$48,"6914",O2:O48)</f>
        <v>5</v>
      </c>
      <c r="P53" s="44">
        <f t="shared" ref="P53:P55" si="5">K53+O53</f>
        <v>1122</v>
      </c>
      <c r="Q53" s="45"/>
    </row>
    <row r="54" spans="1:17" x14ac:dyDescent="0.25">
      <c r="A54" s="40" t="s">
        <v>236</v>
      </c>
      <c r="B54" s="40" t="s">
        <v>494</v>
      </c>
      <c r="C54" s="42">
        <f>SUMIF($B$2:$B$48,"1882",C2:C48)+SUMIF($B$2:$B$48,"9037",C2:C48)+SUMIF($B$2:$B$48,"9040",C2:C48)</f>
        <v>753</v>
      </c>
      <c r="D54" s="42">
        <f t="shared" ref="D54:M54" si="6">SUMIF($B$2:$B$48,"1882",D2:D48)+SUMIF($B$2:$B$48,"9037",D2:D48)+SUMIF($B$2:$B$48,"9040",D2:D48)</f>
        <v>67</v>
      </c>
      <c r="E54" s="42">
        <f t="shared" si="6"/>
        <v>0</v>
      </c>
      <c r="F54" s="42">
        <f t="shared" si="6"/>
        <v>0</v>
      </c>
      <c r="G54" s="42">
        <f t="shared" si="6"/>
        <v>14</v>
      </c>
      <c r="H54" s="42">
        <f t="shared" si="6"/>
        <v>0.5</v>
      </c>
      <c r="I54" s="42">
        <f t="shared" si="6"/>
        <v>0</v>
      </c>
      <c r="J54" s="42">
        <f t="shared" si="6"/>
        <v>334</v>
      </c>
      <c r="K54" s="42">
        <f t="shared" si="6"/>
        <v>437</v>
      </c>
      <c r="L54" s="42">
        <f t="shared" si="6"/>
        <v>563</v>
      </c>
      <c r="M54" s="42">
        <f t="shared" si="6"/>
        <v>753</v>
      </c>
      <c r="N54" s="42">
        <f t="shared" si="3"/>
        <v>767.5</v>
      </c>
      <c r="O54" s="42">
        <f t="shared" ref="O54" si="7">SUMIF($B$2:$B$48,"1882",O2:O48)+SUMIF($B$2:$B$48,"9037",O2:O48)+SUMIF($B$2:$B$48,"9040",O2:O48)</f>
        <v>2</v>
      </c>
      <c r="P54" s="44">
        <f t="shared" si="5"/>
        <v>439</v>
      </c>
      <c r="Q54" s="45"/>
    </row>
    <row r="55" spans="1:17" x14ac:dyDescent="0.25">
      <c r="A55" s="40" t="s">
        <v>247</v>
      </c>
      <c r="B55" s="40" t="s">
        <v>495</v>
      </c>
      <c r="C55" s="42">
        <f>SUMIF($B$2:$B$48,"6266",C2:C48)+SUMIF($B$2:$B$48,"3513",C2:C48)</f>
        <v>90</v>
      </c>
      <c r="D55" s="42">
        <f t="shared" ref="D55:M55" si="8">SUMIF($B$2:$B$48,"6266",D2:D48)+SUMIF($B$2:$B$48,"3513",D2:D48)</f>
        <v>0</v>
      </c>
      <c r="E55" s="42">
        <f t="shared" si="8"/>
        <v>0</v>
      </c>
      <c r="F55" s="42">
        <f t="shared" si="8"/>
        <v>0</v>
      </c>
      <c r="G55" s="42">
        <f t="shared" si="8"/>
        <v>7</v>
      </c>
      <c r="H55" s="42">
        <f t="shared" si="8"/>
        <v>0</v>
      </c>
      <c r="I55" s="42">
        <f t="shared" si="8"/>
        <v>0</v>
      </c>
      <c r="J55" s="42">
        <f t="shared" si="8"/>
        <v>0</v>
      </c>
      <c r="K55" s="42">
        <f t="shared" si="8"/>
        <v>82</v>
      </c>
      <c r="L55" s="42">
        <f t="shared" si="8"/>
        <v>0</v>
      </c>
      <c r="M55" s="42">
        <f t="shared" si="8"/>
        <v>98</v>
      </c>
      <c r="N55" s="42">
        <f t="shared" si="3"/>
        <v>97</v>
      </c>
      <c r="O55" s="42">
        <f t="shared" ref="O55" si="9">SUMIF($B$2:$B$48,"6266",O2:O48)+SUMIF($B$2:$B$48,"3513",O2:O48)</f>
        <v>2</v>
      </c>
      <c r="P55" s="44">
        <f t="shared" si="5"/>
        <v>84</v>
      </c>
      <c r="Q55" s="45"/>
    </row>
    <row r="56" spans="1:17" x14ac:dyDescent="0.25">
      <c r="J56" s="44"/>
      <c r="K56" s="44"/>
      <c r="L56" s="44"/>
      <c r="M56" s="44"/>
      <c r="Q56" s="45"/>
    </row>
    <row r="57" spans="1:17" x14ac:dyDescent="0.25">
      <c r="J57" s="44"/>
      <c r="K57" s="44"/>
      <c r="L57" s="44"/>
      <c r="M57" s="44"/>
      <c r="Q57" s="45"/>
    </row>
    <row r="58" spans="1:17" x14ac:dyDescent="0.25">
      <c r="J58" s="44"/>
      <c r="K58" s="44"/>
      <c r="L58" s="44"/>
      <c r="M58" s="44"/>
      <c r="Q58" s="45"/>
    </row>
    <row r="59" spans="1:17" x14ac:dyDescent="0.25">
      <c r="J59" s="44"/>
      <c r="K59" s="44"/>
      <c r="L59" s="44"/>
      <c r="M59" s="44"/>
      <c r="Q59" s="45"/>
    </row>
    <row r="60" spans="1:17" x14ac:dyDescent="0.25">
      <c r="J60" s="44"/>
      <c r="K60" s="44"/>
      <c r="L60" s="44"/>
      <c r="M60" s="44"/>
      <c r="Q60" s="45"/>
    </row>
    <row r="61" spans="1:17" x14ac:dyDescent="0.25">
      <c r="J61" s="44"/>
      <c r="K61" s="44"/>
      <c r="L61" s="44"/>
      <c r="M61" s="44"/>
      <c r="Q61" s="45"/>
    </row>
    <row r="62" spans="1:17" x14ac:dyDescent="0.25">
      <c r="J62" s="44"/>
      <c r="K62" s="44"/>
      <c r="L62" s="44"/>
      <c r="M62" s="44"/>
      <c r="Q62" s="45"/>
    </row>
    <row r="63" spans="1:17" x14ac:dyDescent="0.25">
      <c r="J63" s="44"/>
      <c r="K63" s="44"/>
      <c r="L63" s="44"/>
      <c r="M63" s="44"/>
      <c r="Q63" s="45"/>
    </row>
    <row r="64" spans="1:17" x14ac:dyDescent="0.25">
      <c r="J64" s="44"/>
      <c r="K64" s="44"/>
      <c r="L64" s="44"/>
      <c r="M64" s="44"/>
      <c r="Q64" s="45"/>
    </row>
    <row r="65" spans="10:17" x14ac:dyDescent="0.25">
      <c r="J65" s="44"/>
      <c r="K65" s="44"/>
      <c r="L65" s="44"/>
      <c r="M65" s="44"/>
      <c r="Q65" s="45"/>
    </row>
    <row r="66" spans="10:17" x14ac:dyDescent="0.25">
      <c r="J66" s="44"/>
      <c r="K66" s="44"/>
      <c r="L66" s="44"/>
      <c r="M66" s="44"/>
      <c r="Q66" s="45"/>
    </row>
    <row r="67" spans="10:17" x14ac:dyDescent="0.25">
      <c r="J67" s="44"/>
      <c r="K67" s="44"/>
      <c r="L67" s="44"/>
      <c r="M67" s="44"/>
      <c r="Q67" s="45"/>
    </row>
    <row r="68" spans="10:17" x14ac:dyDescent="0.25">
      <c r="J68" s="44"/>
      <c r="K68" s="44"/>
      <c r="L68" s="44"/>
      <c r="M68" s="44"/>
      <c r="Q68" s="45"/>
    </row>
    <row r="69" spans="10:17" x14ac:dyDescent="0.25">
      <c r="J69" s="44"/>
      <c r="K69" s="44"/>
      <c r="L69" s="44"/>
      <c r="M69" s="44"/>
      <c r="Q69" s="45"/>
    </row>
    <row r="70" spans="10:17" x14ac:dyDescent="0.25">
      <c r="J70" s="44"/>
      <c r="K70" s="44"/>
      <c r="L70" s="44"/>
      <c r="M70" s="44"/>
      <c r="Q70" s="45"/>
    </row>
    <row r="71" spans="10:17" x14ac:dyDescent="0.25">
      <c r="J71" s="44"/>
      <c r="K71" s="44"/>
      <c r="L71" s="44"/>
      <c r="M71" s="44"/>
      <c r="Q71" s="45"/>
    </row>
    <row r="72" spans="10:17" x14ac:dyDescent="0.25">
      <c r="J72" s="44"/>
      <c r="K72" s="44"/>
      <c r="L72" s="44"/>
      <c r="M72" s="44"/>
      <c r="Q72" s="45"/>
    </row>
    <row r="73" spans="10:17" x14ac:dyDescent="0.25">
      <c r="J73" s="44"/>
      <c r="K73" s="44"/>
      <c r="L73" s="44"/>
      <c r="M73" s="44"/>
      <c r="Q73" s="45"/>
    </row>
    <row r="74" spans="10:17" x14ac:dyDescent="0.25">
      <c r="J74" s="44"/>
      <c r="K74" s="44"/>
      <c r="L74" s="44"/>
      <c r="M74" s="44"/>
      <c r="Q74" s="45"/>
    </row>
    <row r="75" spans="10:17" x14ac:dyDescent="0.25">
      <c r="J75" s="44"/>
      <c r="K75" s="44"/>
      <c r="L75" s="44"/>
      <c r="M75" s="44"/>
      <c r="Q75" s="45"/>
    </row>
    <row r="76" spans="10:17" x14ac:dyDescent="0.25">
      <c r="J76" s="44"/>
      <c r="K76" s="44"/>
      <c r="L76" s="44"/>
      <c r="M76" s="44"/>
      <c r="Q76" s="45"/>
    </row>
    <row r="77" spans="10:17" x14ac:dyDescent="0.25">
      <c r="J77" s="44"/>
      <c r="K77" s="44"/>
      <c r="L77" s="44"/>
      <c r="M77" s="44"/>
      <c r="Q77" s="45"/>
    </row>
    <row r="78" spans="10:17" x14ac:dyDescent="0.25">
      <c r="J78" s="44"/>
      <c r="K78" s="44"/>
      <c r="L78" s="44"/>
      <c r="M78" s="44"/>
      <c r="Q78" s="45"/>
    </row>
    <row r="79" spans="10:17" x14ac:dyDescent="0.25">
      <c r="J79" s="44"/>
      <c r="K79" s="44"/>
      <c r="L79" s="44"/>
      <c r="M79" s="44"/>
      <c r="Q79" s="45"/>
    </row>
    <row r="80" spans="10:17" x14ac:dyDescent="0.25">
      <c r="J80" s="44"/>
      <c r="K80" s="44"/>
      <c r="L80" s="44"/>
      <c r="M80" s="44"/>
      <c r="Q80" s="45"/>
    </row>
    <row r="81" spans="10:17" x14ac:dyDescent="0.25">
      <c r="J81" s="44"/>
      <c r="K81" s="44"/>
      <c r="L81" s="44"/>
      <c r="M81" s="44"/>
      <c r="Q81" s="45"/>
    </row>
    <row r="82" spans="10:17" x14ac:dyDescent="0.25">
      <c r="J82" s="44"/>
      <c r="K82" s="44"/>
      <c r="L82" s="44"/>
      <c r="M82" s="44"/>
      <c r="Q82" s="45"/>
    </row>
    <row r="83" spans="10:17" x14ac:dyDescent="0.25">
      <c r="J83" s="44"/>
      <c r="K83" s="44"/>
      <c r="L83" s="44"/>
      <c r="M83" s="44"/>
      <c r="Q83" s="45"/>
    </row>
    <row r="84" spans="10:17" x14ac:dyDescent="0.25">
      <c r="J84" s="44"/>
      <c r="K84" s="44"/>
      <c r="L84" s="44"/>
      <c r="M84" s="44"/>
      <c r="Q84" s="45"/>
    </row>
    <row r="85" spans="10:17" x14ac:dyDescent="0.25">
      <c r="J85" s="44"/>
      <c r="K85" s="44"/>
      <c r="L85" s="44"/>
      <c r="M85" s="44"/>
      <c r="Q85" s="45"/>
    </row>
    <row r="86" spans="10:17" x14ac:dyDescent="0.25">
      <c r="J86" s="44"/>
      <c r="K86" s="44"/>
      <c r="L86" s="44"/>
      <c r="M86" s="44"/>
      <c r="Q86" s="45"/>
    </row>
    <row r="87" spans="10:17" x14ac:dyDescent="0.25">
      <c r="J87" s="44"/>
      <c r="K87" s="44"/>
      <c r="L87" s="44"/>
      <c r="M87" s="44"/>
      <c r="Q87" s="45"/>
    </row>
    <row r="88" spans="10:17" x14ac:dyDescent="0.25">
      <c r="J88" s="44"/>
      <c r="K88" s="44"/>
      <c r="L88" s="44"/>
      <c r="M88" s="44"/>
      <c r="Q88" s="45"/>
    </row>
    <row r="89" spans="10:17" x14ac:dyDescent="0.25">
      <c r="J89" s="44"/>
      <c r="K89" s="44"/>
      <c r="L89" s="44"/>
      <c r="M89" s="44"/>
      <c r="Q89" s="45"/>
    </row>
    <row r="90" spans="10:17" x14ac:dyDescent="0.25">
      <c r="J90" s="44"/>
      <c r="K90" s="44"/>
      <c r="L90" s="44"/>
      <c r="M90" s="44"/>
      <c r="Q90" s="45"/>
    </row>
    <row r="91" spans="10:17" x14ac:dyDescent="0.25">
      <c r="J91" s="44"/>
      <c r="K91" s="44"/>
      <c r="L91" s="44"/>
      <c r="M91" s="44"/>
      <c r="Q91" s="45"/>
    </row>
    <row r="92" spans="10:17" x14ac:dyDescent="0.25">
      <c r="J92" s="44"/>
      <c r="K92" s="44"/>
      <c r="L92" s="44"/>
      <c r="M92" s="44"/>
      <c r="Q92" s="45"/>
    </row>
    <row r="93" spans="10:17" x14ac:dyDescent="0.25">
      <c r="J93" s="44"/>
      <c r="K93" s="44"/>
      <c r="L93" s="44"/>
      <c r="M93" s="44"/>
      <c r="Q93" s="45"/>
    </row>
    <row r="94" spans="10:17" x14ac:dyDescent="0.25">
      <c r="J94" s="44"/>
      <c r="K94" s="44"/>
      <c r="L94" s="44"/>
      <c r="M94" s="44"/>
      <c r="Q94" s="45"/>
    </row>
    <row r="95" spans="10:17" x14ac:dyDescent="0.25">
      <c r="J95" s="44"/>
      <c r="K95" s="44"/>
      <c r="L95" s="44"/>
      <c r="M95" s="44"/>
      <c r="Q95" s="45"/>
    </row>
    <row r="96" spans="10:17" x14ac:dyDescent="0.25">
      <c r="J96" s="44"/>
      <c r="K96" s="44"/>
      <c r="L96" s="44"/>
      <c r="M96" s="44"/>
      <c r="Q96" s="45"/>
    </row>
    <row r="97" spans="10:17" x14ac:dyDescent="0.25">
      <c r="J97" s="44"/>
      <c r="K97" s="44"/>
      <c r="L97" s="44"/>
      <c r="M97" s="44"/>
      <c r="Q97" s="45"/>
    </row>
    <row r="98" spans="10:17" x14ac:dyDescent="0.25">
      <c r="J98" s="44"/>
      <c r="K98" s="44"/>
      <c r="L98" s="44"/>
      <c r="M98" s="44"/>
      <c r="Q98" s="45"/>
    </row>
    <row r="99" spans="10:17" x14ac:dyDescent="0.25">
      <c r="J99" s="44"/>
      <c r="K99" s="44"/>
      <c r="L99" s="44"/>
      <c r="M99" s="44"/>
      <c r="Q99" s="45"/>
    </row>
    <row r="100" spans="10:17" x14ac:dyDescent="0.25">
      <c r="J100" s="44"/>
      <c r="K100" s="44"/>
      <c r="L100" s="44"/>
      <c r="M100" s="44"/>
      <c r="Q100" s="45"/>
    </row>
    <row r="101" spans="10:17" x14ac:dyDescent="0.25">
      <c r="J101" s="44"/>
      <c r="K101" s="44"/>
      <c r="L101" s="44"/>
      <c r="M101" s="44"/>
      <c r="Q101" s="45"/>
    </row>
    <row r="102" spans="10:17" x14ac:dyDescent="0.25">
      <c r="J102" s="44"/>
      <c r="K102" s="44"/>
      <c r="L102" s="44"/>
      <c r="M102" s="44"/>
      <c r="Q102" s="45"/>
    </row>
    <row r="103" spans="10:17" x14ac:dyDescent="0.25">
      <c r="J103" s="44"/>
      <c r="K103" s="44"/>
      <c r="L103" s="44"/>
      <c r="M103" s="44"/>
      <c r="Q103" s="45"/>
    </row>
    <row r="104" spans="10:17" x14ac:dyDescent="0.25">
      <c r="J104" s="44"/>
      <c r="K104" s="44"/>
      <c r="L104" s="44"/>
      <c r="M104" s="44"/>
      <c r="Q104" s="45"/>
    </row>
    <row r="105" spans="10:17" x14ac:dyDescent="0.25">
      <c r="J105" s="44"/>
      <c r="K105" s="44"/>
      <c r="L105" s="44"/>
      <c r="M105" s="44"/>
      <c r="Q105" s="45"/>
    </row>
    <row r="106" spans="10:17" x14ac:dyDescent="0.25">
      <c r="J106" s="44"/>
      <c r="K106" s="44"/>
      <c r="L106" s="44"/>
      <c r="M106" s="44"/>
      <c r="Q106" s="45"/>
    </row>
    <row r="107" spans="10:17" x14ac:dyDescent="0.25">
      <c r="J107" s="44"/>
      <c r="K107" s="44"/>
      <c r="L107" s="44"/>
      <c r="M107" s="44"/>
      <c r="Q107" s="45"/>
    </row>
    <row r="108" spans="10:17" x14ac:dyDescent="0.25">
      <c r="J108" s="44"/>
      <c r="K108" s="44"/>
      <c r="L108" s="44"/>
      <c r="M108" s="44"/>
      <c r="Q108" s="45"/>
    </row>
    <row r="109" spans="10:17" x14ac:dyDescent="0.25">
      <c r="J109" s="44"/>
      <c r="K109" s="44"/>
      <c r="L109" s="44"/>
      <c r="M109" s="44"/>
      <c r="Q109" s="45"/>
    </row>
    <row r="110" spans="10:17" x14ac:dyDescent="0.25">
      <c r="J110" s="44"/>
      <c r="K110" s="44"/>
      <c r="L110" s="44"/>
      <c r="M110" s="44"/>
      <c r="Q110" s="45"/>
    </row>
    <row r="111" spans="10:17" x14ac:dyDescent="0.25">
      <c r="J111" s="44"/>
      <c r="K111" s="44"/>
      <c r="L111" s="44"/>
      <c r="M111" s="44"/>
      <c r="Q111" s="45"/>
    </row>
    <row r="112" spans="10:17" x14ac:dyDescent="0.25">
      <c r="J112" s="44"/>
      <c r="K112" s="44"/>
      <c r="L112" s="44"/>
      <c r="M112" s="44"/>
      <c r="Q112" s="45"/>
    </row>
    <row r="113" spans="10:17" x14ac:dyDescent="0.25">
      <c r="J113" s="44"/>
      <c r="K113" s="44"/>
      <c r="L113" s="44"/>
      <c r="M113" s="44"/>
      <c r="Q113" s="45"/>
    </row>
    <row r="114" spans="10:17" x14ac:dyDescent="0.25">
      <c r="J114" s="44"/>
      <c r="K114" s="44"/>
      <c r="L114" s="44"/>
      <c r="M114" s="44"/>
      <c r="Q114" s="45"/>
    </row>
    <row r="115" spans="10:17" x14ac:dyDescent="0.25">
      <c r="J115" s="44"/>
      <c r="K115" s="44"/>
      <c r="L115" s="44"/>
      <c r="M115" s="44"/>
      <c r="Q115" s="45"/>
    </row>
    <row r="116" spans="10:17" x14ac:dyDescent="0.25">
      <c r="J116" s="44"/>
      <c r="K116" s="44"/>
      <c r="L116" s="44"/>
      <c r="M116" s="44"/>
      <c r="Q116" s="45"/>
    </row>
    <row r="117" spans="10:17" x14ac:dyDescent="0.25">
      <c r="J117" s="44"/>
      <c r="K117" s="44"/>
      <c r="L117" s="44"/>
      <c r="M117" s="44"/>
      <c r="Q117" s="45"/>
    </row>
    <row r="118" spans="10:17" x14ac:dyDescent="0.25">
      <c r="J118" s="44"/>
      <c r="K118" s="44"/>
      <c r="L118" s="44"/>
      <c r="M118" s="44"/>
      <c r="Q118" s="45"/>
    </row>
    <row r="119" spans="10:17" x14ac:dyDescent="0.25">
      <c r="J119" s="44"/>
      <c r="K119" s="44"/>
      <c r="L119" s="44"/>
      <c r="M119" s="44"/>
      <c r="Q119" s="45"/>
    </row>
    <row r="120" spans="10:17" x14ac:dyDescent="0.25">
      <c r="J120" s="44"/>
      <c r="K120" s="44"/>
      <c r="L120" s="44"/>
      <c r="M120" s="44"/>
      <c r="Q120" s="45"/>
    </row>
    <row r="121" spans="10:17" x14ac:dyDescent="0.25">
      <c r="J121" s="44"/>
      <c r="K121" s="44"/>
      <c r="L121" s="44"/>
      <c r="M121" s="44"/>
      <c r="Q121" s="45"/>
    </row>
    <row r="122" spans="10:17" x14ac:dyDescent="0.25">
      <c r="J122" s="44"/>
      <c r="K122" s="44"/>
      <c r="L122" s="44"/>
      <c r="M122" s="44"/>
      <c r="Q122" s="45"/>
    </row>
    <row r="123" spans="10:17" x14ac:dyDescent="0.25">
      <c r="J123" s="44"/>
      <c r="K123" s="44"/>
      <c r="L123" s="44"/>
      <c r="M123" s="44"/>
      <c r="Q123" s="45"/>
    </row>
    <row r="124" spans="10:17" x14ac:dyDescent="0.25">
      <c r="J124" s="44"/>
      <c r="K124" s="44"/>
      <c r="L124" s="44"/>
      <c r="M124" s="44"/>
      <c r="Q124" s="45"/>
    </row>
    <row r="125" spans="10:17" x14ac:dyDescent="0.25">
      <c r="J125" s="44"/>
      <c r="K125" s="44"/>
      <c r="L125" s="44"/>
      <c r="M125" s="44"/>
      <c r="Q125" s="45"/>
    </row>
    <row r="126" spans="10:17" x14ac:dyDescent="0.25">
      <c r="J126" s="44"/>
      <c r="K126" s="44"/>
      <c r="L126" s="44"/>
      <c r="M126" s="44"/>
      <c r="Q126" s="45"/>
    </row>
    <row r="127" spans="10:17" x14ac:dyDescent="0.25">
      <c r="J127" s="44"/>
      <c r="K127" s="44"/>
      <c r="L127" s="44"/>
      <c r="M127" s="44"/>
      <c r="Q127" s="45"/>
    </row>
    <row r="128" spans="10:17" x14ac:dyDescent="0.25">
      <c r="J128" s="44"/>
      <c r="K128" s="44"/>
      <c r="L128" s="44"/>
      <c r="M128" s="44"/>
      <c r="Q128" s="45"/>
    </row>
    <row r="129" spans="10:17" x14ac:dyDescent="0.25">
      <c r="J129" s="44"/>
      <c r="K129" s="44"/>
      <c r="L129" s="44"/>
      <c r="M129" s="44"/>
      <c r="Q129" s="45"/>
    </row>
    <row r="130" spans="10:17" x14ac:dyDescent="0.25">
      <c r="J130" s="44"/>
      <c r="K130" s="44"/>
      <c r="L130" s="44"/>
      <c r="M130" s="44"/>
      <c r="Q130" s="45"/>
    </row>
    <row r="131" spans="10:17" x14ac:dyDescent="0.25">
      <c r="J131" s="44"/>
      <c r="K131" s="44"/>
      <c r="L131" s="44"/>
      <c r="M131" s="44"/>
      <c r="Q131" s="45"/>
    </row>
    <row r="132" spans="10:17" x14ac:dyDescent="0.25">
      <c r="J132" s="44"/>
      <c r="K132" s="44"/>
      <c r="L132" s="44"/>
      <c r="M132" s="44"/>
      <c r="Q132" s="45"/>
    </row>
    <row r="133" spans="10:17" x14ac:dyDescent="0.25">
      <c r="J133" s="44"/>
      <c r="K133" s="44"/>
      <c r="L133" s="44"/>
      <c r="M133" s="44"/>
      <c r="Q133" s="45"/>
    </row>
    <row r="134" spans="10:17" x14ac:dyDescent="0.25">
      <c r="J134" s="44"/>
      <c r="K134" s="44"/>
      <c r="L134" s="44"/>
      <c r="M134" s="44"/>
      <c r="Q134" s="45"/>
    </row>
    <row r="135" spans="10:17" x14ac:dyDescent="0.25">
      <c r="J135" s="44"/>
      <c r="K135" s="44"/>
      <c r="L135" s="44"/>
      <c r="M135" s="44"/>
      <c r="Q135" s="45"/>
    </row>
    <row r="136" spans="10:17" x14ac:dyDescent="0.25">
      <c r="J136" s="44"/>
      <c r="K136" s="44"/>
      <c r="L136" s="44"/>
      <c r="M136" s="44"/>
      <c r="Q136" s="45"/>
    </row>
    <row r="137" spans="10:17" x14ac:dyDescent="0.25">
      <c r="J137" s="44"/>
      <c r="K137" s="44"/>
      <c r="L137" s="44"/>
      <c r="M137" s="44"/>
      <c r="Q137" s="45"/>
    </row>
    <row r="138" spans="10:17" x14ac:dyDescent="0.25">
      <c r="J138" s="44"/>
      <c r="K138" s="44"/>
      <c r="L138" s="44"/>
      <c r="M138" s="44"/>
      <c r="Q138" s="45"/>
    </row>
    <row r="139" spans="10:17" x14ac:dyDescent="0.25">
      <c r="J139" s="44"/>
      <c r="K139" s="44"/>
      <c r="L139" s="44"/>
      <c r="M139" s="44"/>
      <c r="Q139" s="45"/>
    </row>
    <row r="140" spans="10:17" x14ac:dyDescent="0.25">
      <c r="J140" s="44"/>
      <c r="K140" s="44"/>
      <c r="L140" s="44"/>
      <c r="M140" s="44"/>
      <c r="Q140" s="45"/>
    </row>
    <row r="141" spans="10:17" x14ac:dyDescent="0.25">
      <c r="J141" s="44"/>
      <c r="K141" s="44"/>
      <c r="L141" s="44"/>
      <c r="M141" s="44"/>
      <c r="Q141" s="45"/>
    </row>
    <row r="142" spans="10:17" x14ac:dyDescent="0.25">
      <c r="J142" s="44"/>
      <c r="K142" s="44"/>
      <c r="L142" s="44"/>
      <c r="M142" s="44"/>
      <c r="Q142" s="45"/>
    </row>
    <row r="143" spans="10:17" x14ac:dyDescent="0.25">
      <c r="J143" s="44"/>
      <c r="K143" s="44"/>
      <c r="L143" s="44"/>
      <c r="M143" s="44"/>
      <c r="Q143" s="45"/>
    </row>
    <row r="144" spans="10:17" x14ac:dyDescent="0.25">
      <c r="J144" s="44"/>
      <c r="K144" s="44"/>
      <c r="L144" s="44"/>
      <c r="M144" s="44"/>
      <c r="Q144" s="45"/>
    </row>
    <row r="145" spans="10:17" x14ac:dyDescent="0.25">
      <c r="J145" s="44"/>
      <c r="K145" s="44"/>
      <c r="L145" s="44"/>
      <c r="M145" s="44"/>
      <c r="Q145" s="45"/>
    </row>
    <row r="146" spans="10:17" x14ac:dyDescent="0.25">
      <c r="J146" s="44"/>
      <c r="K146" s="44"/>
      <c r="L146" s="44"/>
      <c r="M146" s="44"/>
      <c r="Q146" s="45"/>
    </row>
    <row r="147" spans="10:17" x14ac:dyDescent="0.25">
      <c r="J147" s="44"/>
      <c r="K147" s="44"/>
      <c r="L147" s="44"/>
      <c r="M147" s="44"/>
      <c r="Q147" s="45"/>
    </row>
    <row r="148" spans="10:17" x14ac:dyDescent="0.25">
      <c r="J148" s="44"/>
      <c r="K148" s="44"/>
      <c r="L148" s="44"/>
      <c r="M148" s="44"/>
      <c r="Q148" s="45"/>
    </row>
    <row r="149" spans="10:17" x14ac:dyDescent="0.25">
      <c r="J149" s="44"/>
      <c r="K149" s="44"/>
      <c r="L149" s="44"/>
      <c r="M149" s="44"/>
      <c r="Q149" s="45"/>
    </row>
    <row r="150" spans="10:17" x14ac:dyDescent="0.25">
      <c r="J150" s="44"/>
      <c r="K150" s="44"/>
      <c r="L150" s="44"/>
      <c r="M150" s="44"/>
      <c r="Q150" s="45"/>
    </row>
    <row r="151" spans="10:17" x14ac:dyDescent="0.25">
      <c r="J151" s="44"/>
      <c r="K151" s="44"/>
      <c r="L151" s="44"/>
      <c r="M151" s="44"/>
      <c r="Q151" s="45"/>
    </row>
    <row r="152" spans="10:17" x14ac:dyDescent="0.25">
      <c r="J152" s="44"/>
      <c r="K152" s="44"/>
      <c r="L152" s="44"/>
      <c r="M152" s="44"/>
      <c r="Q152" s="45"/>
    </row>
    <row r="153" spans="10:17" x14ac:dyDescent="0.25">
      <c r="J153" s="44"/>
      <c r="K153" s="44"/>
      <c r="L153" s="44"/>
      <c r="M153" s="44"/>
      <c r="Q153" s="45"/>
    </row>
    <row r="154" spans="10:17" x14ac:dyDescent="0.25">
      <c r="J154" s="44"/>
      <c r="K154" s="44"/>
      <c r="L154" s="44"/>
      <c r="M154" s="44"/>
      <c r="Q154" s="45"/>
    </row>
    <row r="155" spans="10:17" x14ac:dyDescent="0.25">
      <c r="J155" s="44"/>
      <c r="K155" s="44"/>
      <c r="L155" s="44"/>
      <c r="M155" s="44"/>
      <c r="Q155" s="45"/>
    </row>
    <row r="156" spans="10:17" x14ac:dyDescent="0.25">
      <c r="J156" s="44"/>
      <c r="K156" s="44"/>
      <c r="L156" s="44"/>
      <c r="M156" s="44"/>
      <c r="Q156" s="45"/>
    </row>
    <row r="157" spans="10:17" x14ac:dyDescent="0.25">
      <c r="J157" s="44"/>
      <c r="K157" s="44"/>
      <c r="L157" s="44"/>
      <c r="M157" s="44"/>
      <c r="Q157" s="45"/>
    </row>
    <row r="158" spans="10:17" x14ac:dyDescent="0.25">
      <c r="J158" s="44"/>
      <c r="K158" s="44"/>
      <c r="L158" s="44"/>
      <c r="M158" s="44"/>
      <c r="Q158" s="45"/>
    </row>
    <row r="159" spans="10:17" x14ac:dyDescent="0.25">
      <c r="J159" s="44"/>
      <c r="K159" s="44"/>
      <c r="L159" s="44"/>
      <c r="M159" s="44"/>
      <c r="Q159" s="45"/>
    </row>
    <row r="160" spans="10:17" x14ac:dyDescent="0.25">
      <c r="J160" s="44"/>
      <c r="K160" s="44"/>
      <c r="L160" s="44"/>
      <c r="M160" s="44"/>
      <c r="Q160" s="45"/>
    </row>
    <row r="161" spans="10:17" x14ac:dyDescent="0.25">
      <c r="J161" s="44"/>
      <c r="K161" s="44"/>
      <c r="L161" s="44"/>
      <c r="M161" s="44"/>
      <c r="Q161" s="45"/>
    </row>
    <row r="162" spans="10:17" x14ac:dyDescent="0.25">
      <c r="J162" s="44"/>
      <c r="K162" s="44"/>
      <c r="L162" s="44"/>
      <c r="M162" s="44"/>
      <c r="Q162" s="45"/>
    </row>
    <row r="163" spans="10:17" x14ac:dyDescent="0.25">
      <c r="J163" s="44"/>
      <c r="K163" s="44"/>
      <c r="L163" s="44"/>
      <c r="M163" s="44"/>
      <c r="Q163" s="45"/>
    </row>
    <row r="164" spans="10:17" x14ac:dyDescent="0.25">
      <c r="J164" s="44"/>
      <c r="K164" s="44"/>
      <c r="L164" s="44"/>
      <c r="M164" s="44"/>
      <c r="Q164" s="45"/>
    </row>
    <row r="165" spans="10:17" x14ac:dyDescent="0.25">
      <c r="J165" s="44"/>
      <c r="K165" s="44"/>
      <c r="L165" s="44"/>
      <c r="M165" s="44"/>
      <c r="Q165" s="45"/>
    </row>
    <row r="166" spans="10:17" x14ac:dyDescent="0.25">
      <c r="J166" s="44"/>
      <c r="K166" s="44"/>
      <c r="L166" s="44"/>
      <c r="M166" s="44"/>
      <c r="Q166" s="45"/>
    </row>
    <row r="167" spans="10:17" x14ac:dyDescent="0.25">
      <c r="J167" s="44"/>
      <c r="K167" s="44"/>
      <c r="L167" s="44"/>
      <c r="M167" s="44"/>
      <c r="Q167" s="45"/>
    </row>
    <row r="168" spans="10:17" x14ac:dyDescent="0.25">
      <c r="J168" s="44"/>
      <c r="K168" s="44"/>
      <c r="L168" s="44"/>
      <c r="M168" s="44"/>
      <c r="Q168" s="45"/>
    </row>
    <row r="169" spans="10:17" x14ac:dyDescent="0.25">
      <c r="J169" s="44"/>
      <c r="K169" s="44"/>
      <c r="L169" s="44"/>
      <c r="M169" s="44"/>
      <c r="Q169" s="45"/>
    </row>
    <row r="170" spans="10:17" x14ac:dyDescent="0.25">
      <c r="J170" s="44"/>
      <c r="K170" s="44"/>
      <c r="L170" s="44"/>
      <c r="M170" s="44"/>
      <c r="Q170" s="45"/>
    </row>
    <row r="171" spans="10:17" x14ac:dyDescent="0.25">
      <c r="J171" s="44"/>
      <c r="K171" s="44"/>
      <c r="L171" s="44"/>
      <c r="M171" s="44"/>
      <c r="Q171" s="45"/>
    </row>
    <row r="172" spans="10:17" x14ac:dyDescent="0.25">
      <c r="J172" s="44"/>
      <c r="K172" s="44"/>
      <c r="L172" s="44"/>
      <c r="M172" s="44"/>
      <c r="Q172" s="45"/>
    </row>
    <row r="173" spans="10:17" x14ac:dyDescent="0.25">
      <c r="J173" s="44"/>
      <c r="K173" s="44"/>
      <c r="L173" s="44"/>
      <c r="M173" s="44"/>
      <c r="Q173" s="45"/>
    </row>
    <row r="174" spans="10:17" x14ac:dyDescent="0.25">
      <c r="J174" s="44"/>
      <c r="K174" s="44"/>
      <c r="L174" s="44"/>
      <c r="M174" s="44"/>
      <c r="Q174" s="45"/>
    </row>
    <row r="175" spans="10:17" x14ac:dyDescent="0.25">
      <c r="J175" s="44"/>
      <c r="K175" s="44"/>
      <c r="L175" s="44"/>
      <c r="M175" s="44"/>
      <c r="Q175" s="45"/>
    </row>
    <row r="176" spans="10:17" x14ac:dyDescent="0.25">
      <c r="J176" s="44"/>
      <c r="K176" s="44"/>
      <c r="L176" s="44"/>
      <c r="M176" s="44"/>
      <c r="Q176" s="45"/>
    </row>
    <row r="177" spans="10:17" x14ac:dyDescent="0.25">
      <c r="J177" s="44"/>
      <c r="K177" s="44"/>
      <c r="L177" s="44"/>
      <c r="M177" s="44"/>
      <c r="Q177" s="45"/>
    </row>
    <row r="178" spans="10:17" x14ac:dyDescent="0.25">
      <c r="J178" s="44"/>
      <c r="K178" s="44"/>
      <c r="L178" s="44"/>
      <c r="M178" s="44"/>
      <c r="Q178" s="45"/>
    </row>
    <row r="179" spans="10:17" x14ac:dyDescent="0.25">
      <c r="J179" s="44"/>
      <c r="K179" s="44"/>
      <c r="L179" s="44"/>
      <c r="M179" s="44"/>
      <c r="Q179" s="45"/>
    </row>
    <row r="180" spans="10:17" x14ac:dyDescent="0.25">
      <c r="J180" s="44"/>
      <c r="K180" s="44"/>
      <c r="L180" s="44"/>
      <c r="M180" s="44"/>
      <c r="Q180" s="45"/>
    </row>
    <row r="181" spans="10:17" x14ac:dyDescent="0.25">
      <c r="J181" s="44"/>
      <c r="K181" s="44"/>
      <c r="L181" s="44"/>
      <c r="M181" s="44"/>
      <c r="Q181" s="45"/>
    </row>
    <row r="182" spans="10:17" x14ac:dyDescent="0.25">
      <c r="J182" s="44"/>
      <c r="K182" s="44"/>
      <c r="L182" s="44"/>
      <c r="M182" s="44"/>
      <c r="Q182" s="45"/>
    </row>
    <row r="183" spans="10:17" x14ac:dyDescent="0.25">
      <c r="J183" s="44"/>
      <c r="K183" s="44"/>
      <c r="L183" s="44"/>
      <c r="M183" s="44"/>
      <c r="Q183" s="45"/>
    </row>
    <row r="184" spans="10:17" x14ac:dyDescent="0.25">
      <c r="J184" s="44"/>
      <c r="K184" s="44"/>
      <c r="L184" s="44"/>
      <c r="M184" s="44"/>
      <c r="Q184" s="45"/>
    </row>
    <row r="185" spans="10:17" x14ac:dyDescent="0.25">
      <c r="J185" s="44"/>
      <c r="K185" s="44"/>
      <c r="L185" s="44"/>
      <c r="M185" s="44"/>
      <c r="Q185" s="45"/>
    </row>
    <row r="186" spans="10:17" x14ac:dyDescent="0.25">
      <c r="J186" s="44"/>
      <c r="K186" s="44"/>
      <c r="L186" s="44"/>
      <c r="M186" s="44"/>
      <c r="Q186" s="45"/>
    </row>
    <row r="187" spans="10:17" x14ac:dyDescent="0.25">
      <c r="J187" s="44"/>
      <c r="K187" s="44"/>
      <c r="L187" s="44"/>
      <c r="M187" s="44"/>
      <c r="Q187" s="45"/>
    </row>
    <row r="188" spans="10:17" x14ac:dyDescent="0.25">
      <c r="J188" s="44"/>
      <c r="K188" s="44"/>
      <c r="L188" s="44"/>
      <c r="M188" s="44"/>
      <c r="Q188" s="45"/>
    </row>
    <row r="189" spans="10:17" x14ac:dyDescent="0.25">
      <c r="J189" s="44"/>
      <c r="K189" s="44"/>
      <c r="L189" s="44"/>
      <c r="M189" s="44"/>
      <c r="Q189" s="45"/>
    </row>
    <row r="190" spans="10:17" x14ac:dyDescent="0.25">
      <c r="J190" s="44"/>
      <c r="K190" s="44"/>
      <c r="L190" s="44"/>
      <c r="M190" s="44"/>
      <c r="Q190" s="45"/>
    </row>
    <row r="191" spans="10:17" x14ac:dyDescent="0.25">
      <c r="J191" s="44"/>
      <c r="K191" s="44"/>
      <c r="L191" s="44"/>
      <c r="M191" s="44"/>
      <c r="Q191" s="45"/>
    </row>
    <row r="192" spans="10:17" x14ac:dyDescent="0.25">
      <c r="J192" s="44"/>
      <c r="K192" s="44"/>
      <c r="L192" s="44"/>
      <c r="M192" s="44"/>
      <c r="Q192" s="45"/>
    </row>
    <row r="193" spans="10:17" x14ac:dyDescent="0.25">
      <c r="J193" s="44"/>
      <c r="K193" s="44"/>
      <c r="L193" s="44"/>
      <c r="M193" s="44"/>
      <c r="Q193" s="45"/>
    </row>
    <row r="194" spans="10:17" x14ac:dyDescent="0.25">
      <c r="J194" s="44"/>
      <c r="K194" s="44"/>
      <c r="L194" s="44"/>
      <c r="M194" s="44"/>
      <c r="Q194" s="45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Calculation Form</vt:lpstr>
      <vt:lpstr>Inputs</vt:lpstr>
      <vt:lpstr>CSI Counts</vt:lpstr>
      <vt:lpstr>Inputs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gerard_j</dc:creator>
  <cp:lastModifiedBy>Tim Kahle</cp:lastModifiedBy>
  <cp:lastPrinted>2019-01-24T20:46:09Z</cp:lastPrinted>
  <dcterms:created xsi:type="dcterms:W3CDTF">2005-04-07T14:33:00Z</dcterms:created>
  <dcterms:modified xsi:type="dcterms:W3CDTF">2020-05-01T14:34:47Z</dcterms:modified>
</cp:coreProperties>
</file>