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<sst xmlns="http://schemas.openxmlformats.org/spreadsheetml/2006/main" count="946" uniqueCount="383">
  <si>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</si>
  <si>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</si>
  <si>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</si>
  <si>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</si>
  <si>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</si>
  <si>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</si>
  <si>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</si>
  <si>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</si>
  <si>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</si>
  <si>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</si>
  <si>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</si>
  <si>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</si>
  <si>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</si>
  <si>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</si>
  <si>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</si>
  <si>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</si>
  <si>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</si>
  <si>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</si>
  <si>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</si>
  <si>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</si>
  <si>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</si>
  <si>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</si>
  <si>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</si>
  <si>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</si>
  <si>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</si>
  <si>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</si>
  <si>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</si>
  <si>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</si>
  <si>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</si>
  <si>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</si>
  <si>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</si>
  <si>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</si>
  <si>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</si>
  <si>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</si>
  <si>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</si>
  <si>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</si>
  <si>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</si>
  <si>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</si>
  <si>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</si>
  <si>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</si>
  <si>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</si>
  <si>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</si>
  <si>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</si>
  <si>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</si>
  <si>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</si>
  <si>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</si>
  <si>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</si>
  <si>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</si>
  <si>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</si>
  <si>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</si>
  <si>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</si>
  <si>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</si>
  <si>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</si>
  <si>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</si>
  <si>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</si>
  <si>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</si>
  <si>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</si>
  <si>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</si>
  <si>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</si>
  <si>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</si>
  <si>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</si>
  <si>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</si>
  <si>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</si>
  <si>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</si>
  <si>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</si>
  <si>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</si>
  <si>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</si>
  <si>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</si>
  <si>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</si>
  <si>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</si>
  <si>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</si>
  <si>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</si>
  <si>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</si>
  <si>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</si>
  <si>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</si>
  <si>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</si>
  <si>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</si>
  <si>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</si>
  <si>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</si>
  <si>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</si>
  <si>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</si>
  <si>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</si>
  <si>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</si>
  <si>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</si>
  <si>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</si>
  <si>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</si>
  <si>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</si>
  <si>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</si>
  <si>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</si>
  <si>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</si>
  <si>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</si>
  <si>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</si>
  <si>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</si>
  <si>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</si>
  <si>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</si>
  <si>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</si>
  <si>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</si>
  <si>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</si>
  <si>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</si>
  <si>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</si>
  <si>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</si>
  <si>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</si>
  <si>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</si>
  <si>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</si>
  <si>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</si>
  <si>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</si>
  <si>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</si>
  <si>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</si>
  <si>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</si>
  <si>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</si>
  <si>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</si>
  <si>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</si>
  <si>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</si>
  <si>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</si>
  <si>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</si>
  <si>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</si>
  <si>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</si>
  <si>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</si>
  <si>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</si>
  <si>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</si>
  <si>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</si>
  <si>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</si>
  <si>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</si>
  <si>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</si>
  <si>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</si>
  <si>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</si>
  <si>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</si>
  <si>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</si>
  <si>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</si>
  <si>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</si>
  <si>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</si>
  <si>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</si>
  <si>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</si>
  <si>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</si>
  <si>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</si>
  <si>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</si>
  <si>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</si>
  <si>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</si>
  <si>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</si>
  <si>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</si>
  <si>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</si>
  <si>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</si>
  <si>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</si>
  <si>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</si>
  <si>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</si>
  <si>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</si>
  <si>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</si>
  <si>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</si>
  <si>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</si>
  <si>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</si>
  <si>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</si>
  <si>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</si>
  <si>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</si>
  <si>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</si>
  <si>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</si>
  <si>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</si>
  <si>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</si>
  <si>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</si>
  <si>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</si>
  <si>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</si>
  <si>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</si>
  <si>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</si>
  <si>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</si>
  <si>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</si>
  <si>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</si>
  <si>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</si>
  <si>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</si>
  <si>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</si>
  <si>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</si>
  <si>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</si>
  <si>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</si>
  <si>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</si>
  <si>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</si>
  <si>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</si>
  <si>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</si>
  <si>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</si>
  <si>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</si>
  <si>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</si>
  <si>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</si>
  <si>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</si>
  <si>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</si>
  <si>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</si>
  <si>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</si>
  <si>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</si>
  <si>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</si>
  <si>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</si>
  <si>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</si>
  <si>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</si>
  <si>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</si>
  <si>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</si>
  <si>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</si>
  <si>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</si>
  <si>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</si>
  <si>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</si>
  <si>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</si>
  <si>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</si>
  <si>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</si>
  <si>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</si>
  <si>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</si>
  <si>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</si>
  <si>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</si>
  <si>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</si>
  <si>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</si>
  <si>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</si>
  <si>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</si>
  <si>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</si>
  <si>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</si>
  <si>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</si>
  <si>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</si>
  <si>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</si>
  <si>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</si>
  <si>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</si>
  <si>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</si>
  <si>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</si>
  <si>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</si>
  <si>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</si>
  <si>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</si>
  <si>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</si>
  <si>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</si>
  <si>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</si>
  <si>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</si>
  <si>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</si>
  <si>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</si>
  <si>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</si>
  <si>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</si>
  <si>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</si>
  <si>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</si>
  <si>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</si>
  <si>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</si>
  <si>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</si>
  <si>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</si>
  <si>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</si>
  <si>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</si>
  <si>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</si>
  <si>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</si>
  <si>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</si>
  <si>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</si>
  <si>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</si>
  <si>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</si>
  <si>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</si>
  <si>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</si>
  <si>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</si>
  <si>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</si>
  <si>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</si>
  <si>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</si>
  <si>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</si>
  <si>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</si>
  <si>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</si>
  <si>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</si>
  <si>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</si>
  <si>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</si>
  <si>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</si>
  <si>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</si>
  <si>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</si>
  <si>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</si>
  <si>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</si>
  <si>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</si>
  <si>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</si>
  <si>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</si>
  <si>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</si>
  <si>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</si>
  <si>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</si>
  <si>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</si>
  <si>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</si>
  <si>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</si>
  <si>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</si>
  <si>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</si>
  <si>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</si>
  <si>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</si>
  <si>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</si>
  <si>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</si>
  <si>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</si>
  <si>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</si>
  <si>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</si>
  <si>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</si>
  <si>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</si>
  <si>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</si>
  <si>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</si>
  <si>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</si>
  <si>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</si>
  <si>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</si>
  <si>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</si>
  <si>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</si>
  <si>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</si>
  <si>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</si>
  <si>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</si>
  <si>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</si>
  <si>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</si>
  <si>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</si>
  <si>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Global Village Academy (3471018018A)</t>
  </si>
  <si>
    <t>Stargate Charter School (1519002019A)</t>
  </si>
  <si>
    <t>Liberty Tree Academy (5191111019A)</t>
  </si>
  <si>
    <t>Total for Liberty Tree Academy</t>
  </si>
  <si>
    <t>Highline Academy Charter School (3987088019A)</t>
  </si>
  <si>
    <t>New America School (4699002019A)</t>
  </si>
  <si>
    <t>Total for New America School</t>
  </si>
  <si>
    <t>Caprock Academy (1279800119A)</t>
  </si>
  <si>
    <t>Global Village Academy - Northglenn (3439800119A)</t>
  </si>
  <si>
    <t>Total for Global Village Academy - Northglenn</t>
  </si>
  <si>
    <t>Rocky Mountain Classical Academy (7463111019A)</t>
  </si>
  <si>
    <t>Legacy Academy (2572092019A)</t>
  </si>
  <si>
    <t>Total for Colorado Early Colleges - Parker</t>
  </si>
  <si>
    <t>Total for Colorado Early Colleges - Aurora</t>
  </si>
  <si>
    <t>Total for Colorado Early Colleges - Fort Collins</t>
  </si>
  <si>
    <t>Total for Colorado Springs Early Colleges</t>
  </si>
  <si>
    <t>Colorado Early Colleges - Aurora (1633800119A)</t>
  </si>
  <si>
    <t>Colorado Early Colleges - Fort Collins West (2067800119A)</t>
  </si>
  <si>
    <t>Colorado Early Colleges - Fort Collins Bidg Corp (2067800119B)</t>
  </si>
  <si>
    <t>Colorado Springs Early Colleges - Windsor (1795800119A)</t>
  </si>
  <si>
    <t>Colorado Springs Early Colleges - CSEC (1795800119B)</t>
  </si>
  <si>
    <t>West Ridge Academy Charter School (9611312020A)</t>
  </si>
  <si>
    <t>Total for West Ridge Academy Charter School</t>
  </si>
  <si>
    <t>Crown Pointe Academy (2035800120A)</t>
  </si>
  <si>
    <t>Monument Academy (5093108020A)</t>
  </si>
  <si>
    <t>Colorado Early Colleges - Parker (Apex) (2196800120A)</t>
  </si>
  <si>
    <t>Colorado Early Colleges - Parker (2196800120B)</t>
  </si>
  <si>
    <t>James Irwin Charter High School (4378098020A)</t>
  </si>
  <si>
    <t>James Irwin Charter Middle School (4378098020A)</t>
  </si>
  <si>
    <t>James Irwin Charter Elementary School (4378098020A)</t>
  </si>
  <si>
    <t>James Irwin Charter Academy (4403800120A)</t>
  </si>
  <si>
    <t>Power Technical Early College (6653111020A)</t>
  </si>
  <si>
    <t>New Summit Charter Academy (6242104020A)</t>
  </si>
  <si>
    <t>Total for New Summit Charter Academy</t>
  </si>
  <si>
    <t>Leman Classical School (5225090020A)</t>
  </si>
  <si>
    <t>Total for Leman Classical School</t>
  </si>
  <si>
    <t>Payment schedule combined with schedule for a later issuance</t>
  </si>
  <si>
    <t>Jefferson Academy (#4402142020A)</t>
  </si>
  <si>
    <t>Rocky Mountain Classical Academy (#7463111020A)</t>
  </si>
  <si>
    <t>Colorado Skies Academy (#0188013020A)</t>
  </si>
  <si>
    <t>Total for Colorado Skies Academy</t>
  </si>
  <si>
    <t>STEM School (#5259090020A)</t>
  </si>
  <si>
    <t>Fort Collins Montessori School (#3242155020A)</t>
  </si>
  <si>
    <t>Total for Fort Collins Montessori School</t>
  </si>
  <si>
    <t>Colorado Early Colleges - Aurora (1633800120A)</t>
  </si>
  <si>
    <t>Colorado Early Colleges Parker (#2196800120C)</t>
  </si>
  <si>
    <t>Total for Colorado Early Colleges Parker</t>
  </si>
  <si>
    <t>Two Rivers Community School (#8821800120A)</t>
  </si>
  <si>
    <t>Salida del Sol Academy (#8467312020A)</t>
  </si>
  <si>
    <t>Total for Salida del Sol Academy</t>
  </si>
  <si>
    <t>Prospect Ridge Academy (#6802002020A)</t>
  </si>
  <si>
    <t>The Juniper School (#4384152020A)</t>
  </si>
  <si>
    <t>Total for The Juniper School</t>
  </si>
  <si>
    <t>Golden View Classical Academy (#3393800120A)</t>
  </si>
  <si>
    <t>Total for Golden View Classical Academy</t>
  </si>
  <si>
    <t>Addenbrooke Classical Academy (#1451142020A)</t>
  </si>
  <si>
    <t>American Academy (#0215090020A)</t>
  </si>
  <si>
    <t>Academy of Charter Schools (#0015800120A)</t>
  </si>
  <si>
    <t>Imagine Charter School (#4333047020A)</t>
  </si>
  <si>
    <t>Total for Imagine Charter School</t>
  </si>
  <si>
    <t>Thomas MacLaren State Charter School (#8825800120A)</t>
  </si>
  <si>
    <t>Total for Thomas MacLaren State Charter School</t>
  </si>
  <si>
    <t>Monument Academy (#5093108015A)</t>
  </si>
  <si>
    <t>Total FY 21</t>
  </si>
  <si>
    <t>Parker Performing Arts (#6719090021A)</t>
  </si>
  <si>
    <t>Total for Parker Performing Arts</t>
  </si>
  <si>
    <t>Independence Academy (#2128200021A)</t>
  </si>
  <si>
    <t>Academy of Advanced Learning (#0126018021A)</t>
  </si>
  <si>
    <t>Total for Academy of Advanced Learning</t>
  </si>
  <si>
    <t>Windsor Charter Academy (#9665310021A)</t>
  </si>
  <si>
    <t>Liberty Tree Academy (#5191111021A)</t>
  </si>
  <si>
    <t>Montessori Peaks Academy (#5994142021A)</t>
  </si>
  <si>
    <t>Total for Montessori Peaks Academy</t>
  </si>
  <si>
    <t>Grand Peak Academy (formerly Imagine Indigo Ranch) (4251111019A)</t>
  </si>
  <si>
    <t>Total for Grand Peak Academy (formerly Imagine Indigo Ranch)</t>
  </si>
  <si>
    <t>Chavez/Huerta K-12 Preparatory Academy (#1488269021A)</t>
  </si>
  <si>
    <t>Total for Chavez/Huerta K-12 Preparatory Academy</t>
  </si>
  <si>
    <t>Vanguard Classical School - East (#9189018021A)</t>
  </si>
  <si>
    <t>Total for Vanguard Classical School - East</t>
  </si>
  <si>
    <t>Collegiate Academy of Colorado (#7701142021A)</t>
  </si>
  <si>
    <t>Total for Collegiate Academy of Colorado</t>
  </si>
  <si>
    <t>Swallows Charter Academy (#8420270021A)</t>
  </si>
  <si>
    <t>Global Village Academy - Northglenn (#3439800121A)</t>
  </si>
  <si>
    <t>Rocky Mountain Academy of Evergreen (#7462142021A)</t>
  </si>
  <si>
    <t>Pinnacle Charter School (#0654800121A)</t>
  </si>
  <si>
    <t>Heritage Heights Academy (#4189013021A)</t>
  </si>
  <si>
    <t>Total for Heritage Heights Academy</t>
  </si>
  <si>
    <t>Villa Bella School (#9084270021A)</t>
  </si>
  <si>
    <t>Total for Villa Bella School</t>
  </si>
  <si>
    <t>Lincoln Academy (#5145142021A)</t>
  </si>
  <si>
    <t>Pikes Peak School of Expeditionary Learning (#6935111021A)</t>
  </si>
  <si>
    <t>Total for Pikes Peak School of Expeditionary Learning</t>
  </si>
  <si>
    <t>Aspen View Academy (#6019090021A)</t>
  </si>
  <si>
    <t>Total for Aspen View Academy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</si>
</sst>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3" fillId="33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43" fontId="3" fillId="36" borderId="0" xfId="0" applyNumberFormat="1" applyFont="1" applyFill="1" applyBorder="1" applyAlignment="1" quotePrefix="1">
      <alignment horizontal="left"/>
    </xf>
    <xf numFmtId="0" fontId="0" fillId="37" borderId="0" xfId="0" applyFill="1" applyAlignment="1">
      <alignment/>
    </xf>
    <xf numFmtId="164" fontId="3" fillId="37" borderId="0" xfId="0" applyNumberFormat="1" applyFont="1" applyFill="1" applyBorder="1" applyAlignment="1">
      <alignment/>
    </xf>
    <xf numFmtId="39" fontId="0" fillId="37" borderId="0" xfId="0" applyNumberFormat="1" applyFill="1" applyBorder="1" applyAlignment="1">
      <alignment/>
    </xf>
    <xf numFmtId="39" fontId="1" fillId="37" borderId="11" xfId="0" applyNumberFormat="1" applyFont="1" applyFill="1" applyBorder="1" applyAlignment="1">
      <alignment/>
    </xf>
    <xf numFmtId="39" fontId="3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 quotePrefix="1">
      <alignment horizontal="center"/>
    </xf>
    <xf numFmtId="0" fontId="7" fillId="34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5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right" vertical="center"/>
    </xf>
    <xf numFmtId="43" fontId="3" fillId="38" borderId="0" xfId="0" applyNumberFormat="1" applyFont="1" applyFill="1" applyBorder="1" applyAlignment="1">
      <alignment/>
    </xf>
    <xf numFmtId="0" fontId="7" fillId="38" borderId="0" xfId="0" applyFont="1" applyFill="1" applyAlignment="1">
      <alignment horizontal="right"/>
    </xf>
    <xf numFmtId="0" fontId="1" fillId="38" borderId="0" xfId="0" applyFont="1" applyFill="1" applyBorder="1" applyAlignment="1">
      <alignment horizontal="left"/>
    </xf>
    <xf numFmtId="39" fontId="0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37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7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4QDJNYB5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  <sheetName val="X_MoralO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5"/>
  <sheetViews>
    <sheetView tabSelected="1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5.5742187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14" width="15.57421875" style="32" bestFit="1" customWidth="1"/>
    <col min="15" max="15" width="15.57421875" style="27" bestFit="1" customWidth="1"/>
    <col min="16" max="16" width="16.7109375" style="32" bestFit="1" customWidth="1"/>
    <col min="17" max="17" width="20.140625" style="0" bestFit="1" customWidth="1"/>
    <col min="18" max="20" width="16.00390625" style="0" bestFit="1" customWidth="1"/>
    <col min="21" max="21" width="17.28125" style="0" bestFit="1" customWidth="1"/>
  </cols>
  <sheetData>
    <row r="1" ht="37.5">
      <c r="C1" s="2" t="s">
        <v>0</v>
      </c>
    </row>
    <row r="2" spans="3:16" ht="13.5" customHeight="1">
      <c r="C2" s="3" t="s">
        <v>1</v>
      </c>
      <c r="D2" s="20">
        <v>44013</v>
      </c>
      <c r="E2" s="20">
        <v>44044</v>
      </c>
      <c r="F2" s="20">
        <v>44075</v>
      </c>
      <c r="G2" s="20">
        <v>44105</v>
      </c>
      <c r="H2" s="20">
        <v>44136</v>
      </c>
      <c r="I2" s="20">
        <v>44166</v>
      </c>
      <c r="J2" s="20">
        <v>44197</v>
      </c>
      <c r="K2" s="20">
        <v>44228</v>
      </c>
      <c r="L2" s="20">
        <v>44256</v>
      </c>
      <c r="M2" s="20">
        <v>44287</v>
      </c>
      <c r="N2" s="20">
        <v>44317</v>
      </c>
      <c r="O2" s="28">
        <v>44348</v>
      </c>
      <c r="P2" s="24" t="s">
        <v>352</v>
      </c>
    </row>
    <row r="3" ht="13.5" customHeight="1">
      <c r="C3" s="4"/>
    </row>
    <row r="4" spans="2:3" ht="13.5" customHeight="1">
      <c r="B4" s="35" t="s">
        <v>104</v>
      </c>
      <c r="C4" s="25" t="s">
        <v>2</v>
      </c>
    </row>
    <row r="5" ht="13.5" customHeight="1">
      <c r="C5" s="4" t="s">
        <v>3</v>
      </c>
    </row>
    <row r="6" ht="13.5" customHeight="1">
      <c r="C6" s="4" t="s">
        <v>4</v>
      </c>
    </row>
    <row r="7" ht="13.5" customHeight="1" thickBot="1">
      <c r="C7" s="4" t="s">
        <v>5</v>
      </c>
    </row>
    <row r="8" ht="13.5" customHeight="1" thickBot="1">
      <c r="C8" s="6" t="s">
        <v>6</v>
      </c>
    </row>
    <row r="9" ht="13.5" customHeight="1">
      <c r="C9" s="4"/>
    </row>
    <row r="10" spans="2:3" ht="13.5" customHeight="1">
      <c r="B10" s="35" t="s">
        <v>104</v>
      </c>
      <c r="C10" s="8" t="s">
        <v>7</v>
      </c>
    </row>
    <row r="11" ht="13.5" customHeight="1">
      <c r="C11" s="4" t="str">
        <f>C5</f>
        <v>Debt Reserve</v>
      </c>
    </row>
    <row r="12" ht="13.5" customHeight="1">
      <c r="C12" s="4" t="str">
        <f>C6</f>
        <v>Treasury Fee</v>
      </c>
    </row>
    <row r="13" ht="13.5" customHeight="1" thickBot="1">
      <c r="C13" s="4" t="str">
        <f>C7</f>
        <v>Intercept</v>
      </c>
    </row>
    <row r="14" ht="13.5" customHeight="1" thickBot="1">
      <c r="C14" s="6" t="s">
        <v>8</v>
      </c>
    </row>
    <row r="15" ht="13.5" customHeight="1">
      <c r="C15" s="4"/>
    </row>
    <row r="16" spans="2:3" ht="13.5" customHeight="1">
      <c r="B16" s="36" t="s">
        <v>103</v>
      </c>
      <c r="C16" s="7" t="s">
        <v>9</v>
      </c>
    </row>
    <row r="17" ht="13.5" customHeight="1">
      <c r="C17" s="4" t="str">
        <f>C11</f>
        <v>Debt Reserve</v>
      </c>
    </row>
    <row r="18" ht="13.5" customHeight="1">
      <c r="C18" s="4" t="str">
        <f>C12</f>
        <v>Treasury Fee</v>
      </c>
    </row>
    <row r="19" ht="13.5" customHeight="1" thickBot="1">
      <c r="C19" s="4" t="str">
        <f>C13</f>
        <v>Intercept</v>
      </c>
    </row>
    <row r="20" ht="13.5" customHeight="1" thickBot="1">
      <c r="C20" s="6" t="s">
        <v>10</v>
      </c>
    </row>
    <row r="21" ht="13.5" customHeight="1">
      <c r="C21" s="4"/>
    </row>
    <row r="22" spans="2:3" ht="13.5" customHeight="1">
      <c r="B22" s="36" t="s">
        <v>103</v>
      </c>
      <c r="C22" s="7" t="s">
        <v>54</v>
      </c>
    </row>
    <row r="23" ht="13.5" customHeight="1">
      <c r="C23" s="4" t="str">
        <f>C17</f>
        <v>Debt Reserve</v>
      </c>
    </row>
    <row r="24" ht="13.5" customHeight="1">
      <c r="C24" s="4" t="str">
        <f>C18</f>
        <v>Treasury Fee</v>
      </c>
    </row>
    <row r="25" ht="13.5" customHeight="1" thickBot="1">
      <c r="C25" s="4" t="str">
        <f>C19</f>
        <v>Intercept</v>
      </c>
    </row>
    <row r="26" ht="13.5" customHeight="1" thickBot="1">
      <c r="C26" s="6" t="s">
        <v>11</v>
      </c>
    </row>
    <row r="27" ht="13.5" customHeight="1">
      <c r="C27" s="4"/>
    </row>
    <row r="28" spans="1:3" ht="13.5" customHeight="1">
      <c r="A28" s="16"/>
      <c r="B28" s="35" t="s">
        <v>104</v>
      </c>
      <c r="C28" s="25" t="s">
        <v>124</v>
      </c>
    </row>
    <row r="29" spans="1:3" ht="13.5" customHeight="1">
      <c r="A29" s="16"/>
      <c r="B29" s="16"/>
      <c r="C29" s="4" t="str">
        <f>C23</f>
        <v>Debt Reserve</v>
      </c>
    </row>
    <row r="30" spans="1:3" ht="13.5" customHeight="1">
      <c r="A30" s="16"/>
      <c r="B30" s="16"/>
      <c r="C30" s="4" t="str">
        <f>C24</f>
        <v>Treasury Fee</v>
      </c>
    </row>
    <row r="31" spans="1:3" ht="13.5" customHeight="1" thickBot="1">
      <c r="A31" s="16"/>
      <c r="B31" s="16"/>
      <c r="C31" s="4" t="str">
        <f>C25</f>
        <v>Intercept</v>
      </c>
    </row>
    <row r="32" spans="1:3" ht="13.5" customHeight="1" thickBot="1">
      <c r="A32" s="16"/>
      <c r="B32" s="16"/>
      <c r="C32" s="6" t="s">
        <v>123</v>
      </c>
    </row>
    <row r="33" ht="13.5" customHeight="1">
      <c r="C33" s="4"/>
    </row>
    <row r="34" spans="2:3" ht="13.5" customHeight="1">
      <c r="B34" s="35" t="s">
        <v>104</v>
      </c>
      <c r="C34" s="25" t="s">
        <v>12</v>
      </c>
    </row>
    <row r="35" ht="13.5" customHeight="1">
      <c r="C35" s="4" t="str">
        <f>C29</f>
        <v>Debt Reserve</v>
      </c>
    </row>
    <row r="36" ht="13.5" customHeight="1">
      <c r="C36" s="4" t="str">
        <f>C30</f>
        <v>Treasury Fee</v>
      </c>
    </row>
    <row r="37" ht="13.5" customHeight="1" thickBot="1">
      <c r="C37" s="4" t="str">
        <f>C31</f>
        <v>Intercept</v>
      </c>
    </row>
    <row r="38" ht="13.5" customHeight="1" thickBot="1">
      <c r="C38" s="6" t="s">
        <v>13</v>
      </c>
    </row>
    <row r="39" ht="13.5" customHeight="1">
      <c r="C39" s="4"/>
    </row>
    <row r="40" spans="2:3" ht="13.5" customHeight="1">
      <c r="B40" s="35" t="s">
        <v>104</v>
      </c>
      <c r="C40" s="8" t="s">
        <v>14</v>
      </c>
    </row>
    <row r="41" ht="13.5" customHeight="1">
      <c r="C41" s="4" t="str">
        <f>C35</f>
        <v>Debt Reserve</v>
      </c>
    </row>
    <row r="42" ht="13.5" customHeight="1">
      <c r="C42" s="4" t="str">
        <f>C36</f>
        <v>Treasury Fee</v>
      </c>
    </row>
    <row r="43" ht="13.5" customHeight="1" thickBot="1">
      <c r="C43" s="4" t="str">
        <f>C37</f>
        <v>Intercept</v>
      </c>
    </row>
    <row r="44" ht="13.5" customHeight="1" thickBot="1">
      <c r="C44" s="6" t="s">
        <v>15</v>
      </c>
    </row>
    <row r="45" ht="13.5" customHeight="1">
      <c r="C45" s="4"/>
    </row>
    <row r="46" spans="2:3" ht="13.5" customHeight="1">
      <c r="B46" s="35" t="s">
        <v>104</v>
      </c>
      <c r="C46" s="9" t="s">
        <v>86</v>
      </c>
    </row>
    <row r="47" ht="13.5" customHeight="1">
      <c r="C47" s="4" t="str">
        <f>C41</f>
        <v>Debt Reserve</v>
      </c>
    </row>
    <row r="48" ht="13.5" customHeight="1">
      <c r="C48" s="4" t="str">
        <f>C42</f>
        <v>Treasury Fee</v>
      </c>
    </row>
    <row r="49" ht="13.5" customHeight="1" thickBot="1">
      <c r="C49" s="4" t="str">
        <f>C43</f>
        <v>Intercept</v>
      </c>
    </row>
    <row r="50" ht="13.5" customHeight="1" thickBot="1">
      <c r="C50" s="6" t="s">
        <v>16</v>
      </c>
    </row>
    <row r="51" ht="13.5" customHeight="1">
      <c r="C51" s="4"/>
    </row>
    <row r="52" spans="2:3" ht="13.5" customHeight="1">
      <c r="B52" s="35" t="s">
        <v>104</v>
      </c>
      <c r="C52" s="8" t="s">
        <v>17</v>
      </c>
    </row>
    <row r="53" ht="13.5" customHeight="1">
      <c r="C53" s="4" t="str">
        <f>C47</f>
        <v>Debt Reserve</v>
      </c>
    </row>
    <row r="54" ht="13.5" customHeight="1">
      <c r="C54" s="4" t="str">
        <f>C48</f>
        <v>Treasury Fee</v>
      </c>
    </row>
    <row r="55" ht="13.5" customHeight="1" thickBot="1">
      <c r="C55" s="4" t="str">
        <f>C49</f>
        <v>Intercept</v>
      </c>
    </row>
    <row r="56" ht="13.5" customHeight="1" thickBot="1">
      <c r="C56" s="6" t="s">
        <v>18</v>
      </c>
    </row>
    <row r="57" ht="13.5" customHeight="1">
      <c r="C57" s="4"/>
    </row>
    <row r="58" spans="2:3" ht="13.5" customHeight="1">
      <c r="B58" s="35" t="s">
        <v>104</v>
      </c>
      <c r="C58" s="25" t="s">
        <v>136</v>
      </c>
    </row>
    <row r="59" ht="13.5" customHeight="1">
      <c r="C59" s="4" t="str">
        <f>C53</f>
        <v>Debt Reserve</v>
      </c>
    </row>
    <row r="60" ht="13.5" customHeight="1">
      <c r="C60" s="4" t="str">
        <f>C54</f>
        <v>Treasury Fee</v>
      </c>
    </row>
    <row r="61" ht="13.5" customHeight="1" thickBot="1">
      <c r="C61" s="4" t="str">
        <f>C55</f>
        <v>Intercept</v>
      </c>
    </row>
    <row r="62" ht="13.5" customHeight="1" thickBot="1">
      <c r="C62" s="6" t="s">
        <v>137</v>
      </c>
    </row>
    <row r="63" ht="13.5" customHeight="1">
      <c r="C63" s="4"/>
    </row>
    <row r="64" spans="2:3" ht="13.5" customHeight="1">
      <c r="B64" s="35" t="s">
        <v>104</v>
      </c>
      <c r="C64" s="8" t="s">
        <v>19</v>
      </c>
    </row>
    <row r="65" ht="13.5" customHeight="1">
      <c r="C65" s="4" t="str">
        <f>C59</f>
        <v>Debt Reserve</v>
      </c>
    </row>
    <row r="66" ht="13.5" customHeight="1">
      <c r="C66" s="4" t="str">
        <f>C60</f>
        <v>Treasury Fee</v>
      </c>
    </row>
    <row r="67" ht="13.5" customHeight="1" thickBot="1">
      <c r="C67" s="4" t="str">
        <f>C61</f>
        <v>Intercept</v>
      </c>
    </row>
    <row r="68" ht="13.5" customHeight="1" thickBot="1">
      <c r="C68" s="6" t="s">
        <v>20</v>
      </c>
    </row>
    <row r="69" ht="13.5" customHeight="1">
      <c r="C69" s="4"/>
    </row>
    <row r="70" spans="2:3" ht="13.5" customHeight="1">
      <c r="B70" s="35" t="s">
        <v>104</v>
      </c>
      <c r="C70" s="25" t="s">
        <v>21</v>
      </c>
    </row>
    <row r="71" ht="13.5" customHeight="1">
      <c r="C71" s="4" t="str">
        <f>C65</f>
        <v>Debt Reserve</v>
      </c>
    </row>
    <row r="72" ht="13.5" customHeight="1">
      <c r="C72" s="4" t="str">
        <f>C66</f>
        <v>Treasury Fee</v>
      </c>
    </row>
    <row r="73" ht="13.5" customHeight="1" thickBot="1">
      <c r="C73" s="4" t="str">
        <f>C67</f>
        <v>Intercept</v>
      </c>
    </row>
    <row r="74" ht="13.5" customHeight="1" thickBot="1">
      <c r="C74" s="6" t="s">
        <v>22</v>
      </c>
    </row>
    <row r="75" ht="13.5" customHeight="1">
      <c r="C75" s="4"/>
    </row>
    <row r="76" spans="2:3" ht="13.5" customHeight="1">
      <c r="B76" s="35" t="s">
        <v>104</v>
      </c>
      <c r="C76" s="25" t="s">
        <v>23</v>
      </c>
    </row>
    <row r="77" spans="3:16" ht="13.5" customHeight="1">
      <c r="C77" s="4" t="str">
        <f>C71</f>
        <v>Debt Reserve</v>
      </c>
      <c r="D77" s="48">
        <v>386.67</v>
      </c>
      <c r="E77" s="48">
        <v>386.67</v>
      </c>
      <c r="F77" s="48">
        <v>386.67</v>
      </c>
      <c r="G77" s="48">
        <v>386.67</v>
      </c>
      <c r="H77" s="48">
        <v>386.67</v>
      </c>
      <c r="I77" s="48">
        <v>386.67</v>
      </c>
      <c r="J77" s="48"/>
      <c r="K77" s="48"/>
      <c r="L77" s="48"/>
      <c r="M77" s="48"/>
      <c r="N77" s="48"/>
      <c r="O77" s="50"/>
      <c r="P77" s="21">
        <f>SUM(D77:O77)</f>
        <v>2320.02</v>
      </c>
    </row>
    <row r="78" spans="3:16" ht="13.5" customHeight="1">
      <c r="C78" s="4" t="str">
        <f>C72</f>
        <v>Treasury Fee</v>
      </c>
      <c r="D78" s="48">
        <v>250</v>
      </c>
      <c r="P78" s="21">
        <f>SUM(D78:O78)</f>
        <v>250</v>
      </c>
    </row>
    <row r="79" spans="3:16" ht="13.5" customHeight="1" thickBot="1">
      <c r="C79" s="4" t="str">
        <f>C73</f>
        <v>Intercept</v>
      </c>
      <c r="D79" s="48">
        <f aca="true" t="shared" si="0" ref="D79:I79">27500+19626.04</f>
        <v>47126.04</v>
      </c>
      <c r="E79" s="48">
        <f t="shared" si="0"/>
        <v>47126.04</v>
      </c>
      <c r="F79" s="48">
        <f t="shared" si="0"/>
        <v>47126.04</v>
      </c>
      <c r="G79" s="48">
        <f t="shared" si="0"/>
        <v>47126.04</v>
      </c>
      <c r="H79" s="48">
        <f t="shared" si="0"/>
        <v>47126.04</v>
      </c>
      <c r="I79" s="48">
        <f t="shared" si="0"/>
        <v>47126.04</v>
      </c>
      <c r="J79" s="48"/>
      <c r="K79" s="48"/>
      <c r="L79" s="48"/>
      <c r="M79" s="48"/>
      <c r="N79" s="48"/>
      <c r="O79" s="50"/>
      <c r="P79" s="21">
        <f>SUM(D79:O79)</f>
        <v>282756.24</v>
      </c>
    </row>
    <row r="80" spans="3:16" ht="13.5" customHeight="1" thickBot="1">
      <c r="C80" s="6" t="s">
        <v>24</v>
      </c>
      <c r="D80" s="22">
        <f aca="true" t="shared" si="1" ref="D80:O80">SUM(D77:D79)</f>
        <v>47762.71</v>
      </c>
      <c r="E80" s="22">
        <f t="shared" si="1"/>
        <v>47512.71</v>
      </c>
      <c r="F80" s="22">
        <f t="shared" si="1"/>
        <v>47512.71</v>
      </c>
      <c r="G80" s="22">
        <f t="shared" si="1"/>
        <v>47512.71</v>
      </c>
      <c r="H80" s="22">
        <f t="shared" si="1"/>
        <v>47512.71</v>
      </c>
      <c r="I80" s="22">
        <f t="shared" si="1"/>
        <v>47512.71</v>
      </c>
      <c r="J80" s="22">
        <f t="shared" si="1"/>
        <v>0</v>
      </c>
      <c r="K80" s="22">
        <f t="shared" si="1"/>
        <v>0</v>
      </c>
      <c r="L80" s="22">
        <f t="shared" si="1"/>
        <v>0</v>
      </c>
      <c r="M80" s="22">
        <f t="shared" si="1"/>
        <v>0</v>
      </c>
      <c r="N80" s="22">
        <f t="shared" si="1"/>
        <v>0</v>
      </c>
      <c r="O80" s="30">
        <f t="shared" si="1"/>
        <v>0</v>
      </c>
      <c r="P80" s="22">
        <f>SUM(P77:P79)</f>
        <v>285326.26</v>
      </c>
    </row>
    <row r="81" ht="13.5" customHeight="1">
      <c r="C81" s="10"/>
    </row>
    <row r="82" spans="2:3" ht="13.5" customHeight="1">
      <c r="B82" s="35" t="s">
        <v>104</v>
      </c>
      <c r="C82" s="25" t="s">
        <v>25</v>
      </c>
    </row>
    <row r="83" ht="13.5" customHeight="1">
      <c r="C83" s="4" t="str">
        <f>C77</f>
        <v>Debt Reserve</v>
      </c>
    </row>
    <row r="84" ht="13.5" customHeight="1">
      <c r="C84" s="4" t="str">
        <f>C78</f>
        <v>Treasury Fee</v>
      </c>
    </row>
    <row r="85" ht="13.5" customHeight="1" thickBot="1">
      <c r="C85" s="4" t="str">
        <f>C79</f>
        <v>Intercept</v>
      </c>
    </row>
    <row r="86" ht="13.5" customHeight="1" thickBot="1">
      <c r="C86" s="6" t="s">
        <v>26</v>
      </c>
    </row>
    <row r="87" ht="13.5" customHeight="1">
      <c r="C87" s="10"/>
    </row>
    <row r="88" spans="2:3" ht="13.5" customHeight="1">
      <c r="B88" s="35" t="s">
        <v>104</v>
      </c>
      <c r="C88" s="25" t="s">
        <v>27</v>
      </c>
    </row>
    <row r="89" ht="13.5" customHeight="1">
      <c r="C89" s="4" t="str">
        <f>C83</f>
        <v>Debt Reserve</v>
      </c>
    </row>
    <row r="90" ht="13.5" customHeight="1">
      <c r="C90" s="4" t="str">
        <f>C84</f>
        <v>Treasury Fee</v>
      </c>
    </row>
    <row r="91" ht="13.5" customHeight="1" thickBot="1">
      <c r="C91" s="4" t="str">
        <f>C85</f>
        <v>Intercept</v>
      </c>
    </row>
    <row r="92" ht="13.5" customHeight="1" thickBot="1">
      <c r="C92" s="6" t="s">
        <v>28</v>
      </c>
    </row>
    <row r="93" ht="13.5" customHeight="1">
      <c r="C93" s="10"/>
    </row>
    <row r="94" spans="2:3" ht="13.5" customHeight="1">
      <c r="B94" s="35" t="s">
        <v>104</v>
      </c>
      <c r="C94" s="8" t="s">
        <v>29</v>
      </c>
    </row>
    <row r="95" ht="13.5" customHeight="1">
      <c r="C95" s="4" t="str">
        <f>C89</f>
        <v>Debt Reserve</v>
      </c>
    </row>
    <row r="96" ht="13.5" customHeight="1">
      <c r="C96" s="4" t="str">
        <f>C90</f>
        <v>Treasury Fee</v>
      </c>
    </row>
    <row r="97" ht="13.5" customHeight="1" thickBot="1">
      <c r="C97" s="4" t="str">
        <f>C91</f>
        <v>Intercept</v>
      </c>
    </row>
    <row r="98" ht="13.5" customHeight="1" thickBot="1">
      <c r="C98" s="6" t="s">
        <v>30</v>
      </c>
    </row>
    <row r="99" ht="13.5" customHeight="1">
      <c r="C99" s="10"/>
    </row>
    <row r="100" spans="2:3" ht="13.5" customHeight="1">
      <c r="B100" s="35" t="s">
        <v>104</v>
      </c>
      <c r="C100" s="8" t="s">
        <v>31</v>
      </c>
    </row>
    <row r="101" ht="13.5" customHeight="1">
      <c r="C101" s="4" t="str">
        <f>C95</f>
        <v>Debt Reserve</v>
      </c>
    </row>
    <row r="102" ht="13.5" customHeight="1">
      <c r="C102" s="4" t="str">
        <f>C96</f>
        <v>Treasury Fee</v>
      </c>
    </row>
    <row r="103" ht="13.5" customHeight="1" thickBot="1">
      <c r="C103" s="4" t="str">
        <f>C97</f>
        <v>Intercept</v>
      </c>
    </row>
    <row r="104" ht="13.5" customHeight="1" thickBot="1">
      <c r="C104" s="6" t="s">
        <v>32</v>
      </c>
    </row>
    <row r="105" ht="13.5" customHeight="1">
      <c r="C105" s="10"/>
    </row>
    <row r="106" spans="2:3" ht="13.5" customHeight="1">
      <c r="B106" s="35" t="s">
        <v>104</v>
      </c>
      <c r="C106" s="25" t="s">
        <v>33</v>
      </c>
    </row>
    <row r="107" ht="13.5" customHeight="1">
      <c r="C107" s="4" t="str">
        <f>C89</f>
        <v>Debt Reserve</v>
      </c>
    </row>
    <row r="108" ht="13.5" customHeight="1">
      <c r="C108" s="4" t="str">
        <f>C90</f>
        <v>Treasury Fee</v>
      </c>
    </row>
    <row r="109" ht="13.5" customHeight="1" thickBot="1">
      <c r="C109" s="4" t="str">
        <f>C91</f>
        <v>Intercept</v>
      </c>
    </row>
    <row r="110" ht="13.5" customHeight="1" thickBot="1">
      <c r="C110" s="6" t="s">
        <v>34</v>
      </c>
    </row>
    <row r="111" ht="13.5" customHeight="1">
      <c r="C111" s="10"/>
    </row>
    <row r="112" spans="2:3" ht="13.5" customHeight="1">
      <c r="B112" s="35" t="s">
        <v>104</v>
      </c>
      <c r="C112" s="25" t="s">
        <v>35</v>
      </c>
    </row>
    <row r="113" ht="13.5" customHeight="1">
      <c r="C113" s="4" t="str">
        <f>C95</f>
        <v>Debt Reserve</v>
      </c>
    </row>
    <row r="114" ht="13.5" customHeight="1">
      <c r="C114" s="4" t="str">
        <f>C96</f>
        <v>Treasury Fee</v>
      </c>
    </row>
    <row r="115" ht="13.5" customHeight="1" thickBot="1">
      <c r="C115" s="4" t="str">
        <f>C97</f>
        <v>Intercept</v>
      </c>
    </row>
    <row r="116" ht="13.5" customHeight="1" thickBot="1">
      <c r="C116" s="6" t="s">
        <v>36</v>
      </c>
    </row>
    <row r="117" ht="13.5" customHeight="1">
      <c r="C117" s="10"/>
    </row>
    <row r="118" spans="2:3" ht="13.5" customHeight="1">
      <c r="B118" s="35" t="s">
        <v>104</v>
      </c>
      <c r="C118" s="25" t="s">
        <v>156</v>
      </c>
    </row>
    <row r="119" ht="13.5" customHeight="1">
      <c r="C119" s="4" t="str">
        <f>C101</f>
        <v>Debt Reserve</v>
      </c>
    </row>
    <row r="120" ht="13.5" customHeight="1">
      <c r="C120" s="4" t="str">
        <f>C102</f>
        <v>Treasury Fee</v>
      </c>
    </row>
    <row r="121" ht="13.5" customHeight="1" thickBot="1">
      <c r="C121" s="4" t="str">
        <f>C103</f>
        <v>Intercept</v>
      </c>
    </row>
    <row r="122" ht="13.5" customHeight="1" thickBot="1">
      <c r="C122" s="6" t="s">
        <v>37</v>
      </c>
    </row>
    <row r="123" ht="13.5" customHeight="1">
      <c r="C123" s="10"/>
    </row>
    <row r="124" spans="2:3" ht="13.5" customHeight="1">
      <c r="B124" s="35" t="s">
        <v>104</v>
      </c>
      <c r="C124" s="25" t="s">
        <v>38</v>
      </c>
    </row>
    <row r="125" ht="13.5" customHeight="1">
      <c r="C125" s="4" t="str">
        <f>C107</f>
        <v>Debt Reserve</v>
      </c>
    </row>
    <row r="126" ht="13.5" customHeight="1">
      <c r="C126" s="4" t="str">
        <f>C108</f>
        <v>Treasury Fee</v>
      </c>
    </row>
    <row r="127" ht="13.5" customHeight="1" thickBot="1">
      <c r="C127" s="4" t="str">
        <f>C109</f>
        <v>Intercept</v>
      </c>
    </row>
    <row r="128" ht="13.5" customHeight="1" thickBot="1">
      <c r="C128" s="6" t="s">
        <v>39</v>
      </c>
    </row>
    <row r="129" ht="13.5" customHeight="1">
      <c r="C129" s="10"/>
    </row>
    <row r="130" spans="2:3" ht="13.5" customHeight="1">
      <c r="B130" s="35" t="s">
        <v>104</v>
      </c>
      <c r="C130" s="25" t="s">
        <v>42</v>
      </c>
    </row>
    <row r="131" ht="13.5" customHeight="1">
      <c r="C131" s="4" t="str">
        <f>C113</f>
        <v>Debt Reserve</v>
      </c>
    </row>
    <row r="132" ht="13.5" customHeight="1">
      <c r="C132" s="4" t="str">
        <f>C114</f>
        <v>Treasury Fee</v>
      </c>
    </row>
    <row r="133" ht="13.5" customHeight="1" thickBot="1">
      <c r="C133" s="4" t="str">
        <f>C115</f>
        <v>Intercept</v>
      </c>
    </row>
    <row r="134" ht="13.5" customHeight="1" thickBot="1">
      <c r="C134" s="6" t="s">
        <v>40</v>
      </c>
    </row>
    <row r="135" ht="13.5" customHeight="1">
      <c r="C135" s="10"/>
    </row>
    <row r="136" spans="2:3" ht="13.5" customHeight="1">
      <c r="B136" s="35" t="s">
        <v>104</v>
      </c>
      <c r="C136" s="8" t="s">
        <v>43</v>
      </c>
    </row>
    <row r="137" ht="13.5" customHeight="1">
      <c r="C137" s="4" t="str">
        <f>C119</f>
        <v>Debt Reserve</v>
      </c>
    </row>
    <row r="138" ht="13.5" customHeight="1">
      <c r="C138" s="4" t="str">
        <f>C120</f>
        <v>Treasury Fee</v>
      </c>
    </row>
    <row r="139" ht="13.5" customHeight="1" thickBot="1">
      <c r="C139" s="4" t="str">
        <f>C121</f>
        <v>Intercept</v>
      </c>
    </row>
    <row r="140" ht="13.5" customHeight="1" thickBot="1">
      <c r="C140" s="6" t="s">
        <v>44</v>
      </c>
    </row>
    <row r="141" ht="13.5" customHeight="1">
      <c r="C141" s="10"/>
    </row>
    <row r="142" spans="2:3" ht="13.5" customHeight="1">
      <c r="B142" s="35" t="s">
        <v>104</v>
      </c>
      <c r="C142" s="25" t="s">
        <v>45</v>
      </c>
    </row>
    <row r="143" ht="13.5" customHeight="1">
      <c r="C143" s="4" t="str">
        <f>C125</f>
        <v>Debt Reserve</v>
      </c>
    </row>
    <row r="144" ht="13.5" customHeight="1">
      <c r="C144" s="4" t="str">
        <f>C126</f>
        <v>Treasury Fee</v>
      </c>
    </row>
    <row r="145" ht="13.5" customHeight="1" thickBot="1">
      <c r="C145" s="4" t="str">
        <f>C127</f>
        <v>Intercept</v>
      </c>
    </row>
    <row r="146" ht="13.5" customHeight="1" thickBot="1">
      <c r="C146" s="6" t="s">
        <v>46</v>
      </c>
    </row>
    <row r="147" ht="13.5" customHeight="1">
      <c r="C147" s="10"/>
    </row>
    <row r="148" spans="2:3" ht="13.5" customHeight="1">
      <c r="B148" s="35" t="s">
        <v>104</v>
      </c>
      <c r="C148" s="25" t="s">
        <v>47</v>
      </c>
    </row>
    <row r="149" ht="13.5" customHeight="1">
      <c r="C149" s="4" t="str">
        <f>C131</f>
        <v>Debt Reserve</v>
      </c>
    </row>
    <row r="150" ht="13.5" customHeight="1">
      <c r="C150" s="4" t="str">
        <f>C132</f>
        <v>Treasury Fee</v>
      </c>
    </row>
    <row r="151" ht="13.5" customHeight="1" thickBot="1">
      <c r="C151" s="4" t="str">
        <f>C133</f>
        <v>Intercept</v>
      </c>
    </row>
    <row r="152" ht="13.5" customHeight="1" thickBot="1">
      <c r="C152" s="6" t="s">
        <v>48</v>
      </c>
    </row>
    <row r="153" ht="13.5" customHeight="1">
      <c r="C153" s="10"/>
    </row>
    <row r="154" spans="2:3" ht="13.5" customHeight="1">
      <c r="B154" s="35" t="s">
        <v>104</v>
      </c>
      <c r="C154" s="25" t="s">
        <v>49</v>
      </c>
    </row>
    <row r="155" ht="13.5" customHeight="1">
      <c r="C155" s="4" t="str">
        <f>C137</f>
        <v>Debt Reserve</v>
      </c>
    </row>
    <row r="156" ht="13.5" customHeight="1">
      <c r="C156" s="4" t="str">
        <f>C138</f>
        <v>Treasury Fee</v>
      </c>
    </row>
    <row r="157" ht="13.5" customHeight="1" thickBot="1">
      <c r="C157" s="4" t="str">
        <f>C139</f>
        <v>Intercept</v>
      </c>
    </row>
    <row r="158" ht="13.5" customHeight="1" thickBot="1">
      <c r="C158" s="6" t="s">
        <v>50</v>
      </c>
    </row>
    <row r="159" ht="13.5" customHeight="1">
      <c r="C159" s="10"/>
    </row>
    <row r="160" spans="2:3" ht="13.5" customHeight="1">
      <c r="B160" s="35" t="s">
        <v>104</v>
      </c>
      <c r="C160" s="8" t="s">
        <v>51</v>
      </c>
    </row>
    <row r="161" ht="13.5" customHeight="1">
      <c r="C161" s="4" t="str">
        <f>C143</f>
        <v>Debt Reserve</v>
      </c>
    </row>
    <row r="162" ht="13.5" customHeight="1">
      <c r="C162" s="4" t="str">
        <f>C144</f>
        <v>Treasury Fee</v>
      </c>
    </row>
    <row r="163" ht="13.5" customHeight="1" thickBot="1">
      <c r="C163" s="4" t="str">
        <f>C145</f>
        <v>Intercept</v>
      </c>
    </row>
    <row r="164" ht="13.5" customHeight="1" thickBot="1">
      <c r="C164" s="6" t="s">
        <v>52</v>
      </c>
    </row>
    <row r="165" ht="13.5" customHeight="1">
      <c r="C165" s="10"/>
    </row>
    <row r="166" spans="2:3" ht="13.5" customHeight="1">
      <c r="B166" s="35" t="s">
        <v>104</v>
      </c>
      <c r="C166" s="25" t="s">
        <v>55</v>
      </c>
    </row>
    <row r="167" ht="13.5" customHeight="1">
      <c r="C167" s="4" t="str">
        <f>C149</f>
        <v>Debt Reserve</v>
      </c>
    </row>
    <row r="168" ht="13.5" customHeight="1">
      <c r="C168" s="4" t="str">
        <f>C150</f>
        <v>Treasury Fee</v>
      </c>
    </row>
    <row r="169" ht="13.5" customHeight="1" thickBot="1">
      <c r="C169" s="4" t="str">
        <f>C151</f>
        <v>Intercept</v>
      </c>
    </row>
    <row r="170" ht="13.5" customHeight="1" thickBot="1">
      <c r="C170" s="6" t="s">
        <v>53</v>
      </c>
    </row>
    <row r="171" ht="13.5" customHeight="1">
      <c r="C171" s="10"/>
    </row>
    <row r="172" spans="2:3" ht="13.5" customHeight="1">
      <c r="B172" s="35" t="s">
        <v>104</v>
      </c>
      <c r="C172" s="25" t="s">
        <v>56</v>
      </c>
    </row>
    <row r="173" ht="13.5" customHeight="1">
      <c r="C173" s="4" t="str">
        <f>C155</f>
        <v>Debt Reserve</v>
      </c>
    </row>
    <row r="174" ht="13.5" customHeight="1">
      <c r="C174" s="4" t="str">
        <f>C156</f>
        <v>Treasury Fee</v>
      </c>
    </row>
    <row r="175" ht="13.5" customHeight="1" thickBot="1">
      <c r="C175" s="4" t="str">
        <f>C157</f>
        <v>Intercept</v>
      </c>
    </row>
    <row r="176" ht="13.5" customHeight="1" thickBot="1">
      <c r="C176" s="6" t="s">
        <v>57</v>
      </c>
    </row>
    <row r="177" ht="13.5" customHeight="1">
      <c r="C177" s="10"/>
    </row>
    <row r="178" spans="2:3" ht="13.5" customHeight="1">
      <c r="B178" s="35" t="s">
        <v>104</v>
      </c>
      <c r="C178" s="25" t="s">
        <v>58</v>
      </c>
    </row>
    <row r="179" ht="13.5" customHeight="1">
      <c r="C179" s="4" t="str">
        <f>C161</f>
        <v>Debt Reserve</v>
      </c>
    </row>
    <row r="180" ht="13.5" customHeight="1">
      <c r="C180" s="4" t="str">
        <f>C162</f>
        <v>Treasury Fee</v>
      </c>
    </row>
    <row r="181" ht="13.5" customHeight="1" thickBot="1">
      <c r="C181" s="4" t="str">
        <f>C163</f>
        <v>Intercept</v>
      </c>
    </row>
    <row r="182" ht="13.5" customHeight="1" thickBot="1">
      <c r="C182" s="6" t="s">
        <v>59</v>
      </c>
    </row>
    <row r="183" ht="13.5" customHeight="1">
      <c r="C183" s="10"/>
    </row>
    <row r="184" spans="2:3" ht="13.5" customHeight="1">
      <c r="B184" s="35" t="s">
        <v>104</v>
      </c>
      <c r="C184" s="25" t="s">
        <v>61</v>
      </c>
    </row>
    <row r="185" ht="13.5" customHeight="1">
      <c r="C185" s="4" t="str">
        <f>C167</f>
        <v>Debt Reserve</v>
      </c>
    </row>
    <row r="186" ht="13.5" customHeight="1">
      <c r="C186" s="4" t="str">
        <f>C168</f>
        <v>Treasury Fee</v>
      </c>
    </row>
    <row r="187" ht="13.5" customHeight="1" thickBot="1">
      <c r="C187" s="4" t="str">
        <f>C169</f>
        <v>Intercept</v>
      </c>
    </row>
    <row r="188" ht="13.5" customHeight="1" thickBot="1">
      <c r="C188" s="6" t="s">
        <v>62</v>
      </c>
    </row>
    <row r="189" ht="13.5" customHeight="1">
      <c r="C189" s="10"/>
    </row>
    <row r="190" spans="2:3" ht="13.5" customHeight="1">
      <c r="B190" s="35" t="s">
        <v>104</v>
      </c>
      <c r="C190" s="25" t="s">
        <v>63</v>
      </c>
    </row>
    <row r="191" ht="13.5" customHeight="1">
      <c r="C191" s="4" t="str">
        <f>C173</f>
        <v>Debt Reserve</v>
      </c>
    </row>
    <row r="192" ht="13.5" customHeight="1">
      <c r="C192" s="4" t="str">
        <f>C174</f>
        <v>Treasury Fee</v>
      </c>
    </row>
    <row r="193" ht="13.5" customHeight="1" thickBot="1">
      <c r="C193" s="4" t="str">
        <f>C175</f>
        <v>Intercept</v>
      </c>
    </row>
    <row r="194" ht="13.5" customHeight="1" thickBot="1">
      <c r="C194" s="6" t="s">
        <v>64</v>
      </c>
    </row>
    <row r="195" ht="13.5" customHeight="1">
      <c r="C195" s="10"/>
    </row>
    <row r="196" spans="2:3" ht="13.5" customHeight="1">
      <c r="B196" s="35" t="s">
        <v>104</v>
      </c>
      <c r="C196" s="25" t="s">
        <v>65</v>
      </c>
    </row>
    <row r="197" ht="13.5" customHeight="1">
      <c r="C197" s="4" t="str">
        <f>C179</f>
        <v>Debt Reserve</v>
      </c>
    </row>
    <row r="198" ht="13.5" customHeight="1">
      <c r="C198" s="4" t="str">
        <f>C180</f>
        <v>Treasury Fee</v>
      </c>
    </row>
    <row r="199" ht="13.5" customHeight="1" thickBot="1">
      <c r="C199" s="4" t="str">
        <f>C181</f>
        <v>Intercept</v>
      </c>
    </row>
    <row r="200" ht="13.5" customHeight="1" thickBot="1">
      <c r="C200" s="6" t="s">
        <v>66</v>
      </c>
    </row>
    <row r="201" ht="13.5" customHeight="1">
      <c r="C201" s="10"/>
    </row>
    <row r="202" spans="2:3" ht="13.5" customHeight="1">
      <c r="B202" s="35" t="s">
        <v>104</v>
      </c>
      <c r="C202" s="25" t="s">
        <v>133</v>
      </c>
    </row>
    <row r="203" ht="13.5" customHeight="1">
      <c r="C203" s="4" t="str">
        <f>C185</f>
        <v>Debt Reserve</v>
      </c>
    </row>
    <row r="204" ht="13.5" customHeight="1">
      <c r="C204" s="4" t="str">
        <f>C186</f>
        <v>Treasury Fee</v>
      </c>
    </row>
    <row r="205" ht="13.5" customHeight="1" thickBot="1">
      <c r="C205" s="4" t="str">
        <f>C187</f>
        <v>Intercept</v>
      </c>
    </row>
    <row r="206" ht="13.5" customHeight="1" thickBot="1">
      <c r="C206" s="6" t="s">
        <v>67</v>
      </c>
    </row>
    <row r="207" ht="13.5" customHeight="1">
      <c r="C207" s="10"/>
    </row>
    <row r="208" spans="2:3" ht="13.5" customHeight="1">
      <c r="B208" s="35" t="s">
        <v>104</v>
      </c>
      <c r="C208" s="25" t="s">
        <v>68</v>
      </c>
    </row>
    <row r="209" spans="3:16" ht="13.5" customHeight="1">
      <c r="C209" s="4" t="str">
        <f>C191</f>
        <v>Debt Reserve</v>
      </c>
      <c r="D209" s="21">
        <v>0</v>
      </c>
      <c r="E209" s="21">
        <v>0</v>
      </c>
      <c r="F209" s="21">
        <v>0</v>
      </c>
      <c r="G209" s="21"/>
      <c r="H209" s="21"/>
      <c r="I209" s="21"/>
      <c r="J209" s="21"/>
      <c r="K209" s="21"/>
      <c r="L209" s="21"/>
      <c r="M209" s="21"/>
      <c r="N209" s="21"/>
      <c r="O209" s="29"/>
      <c r="P209" s="21">
        <f>SUM(D209:O209)</f>
        <v>0</v>
      </c>
    </row>
    <row r="210" spans="3:16" ht="13.5" customHeight="1">
      <c r="C210" s="4" t="str">
        <f>C192</f>
        <v>Treasury Fee</v>
      </c>
      <c r="D210" s="48">
        <v>250</v>
      </c>
      <c r="P210" s="21">
        <f>SUM(D210:O210)</f>
        <v>250</v>
      </c>
    </row>
    <row r="211" spans="3:16" ht="13.5" customHeight="1" thickBot="1">
      <c r="C211" s="4" t="str">
        <f>C193</f>
        <v>Intercept</v>
      </c>
      <c r="D211" s="48">
        <f>18750+25080.42</f>
        <v>43830.42</v>
      </c>
      <c r="E211" s="48">
        <f>18750+25080.42</f>
        <v>43830.42</v>
      </c>
      <c r="F211" s="48">
        <f>18750+25080.42</f>
        <v>43830.42</v>
      </c>
      <c r="G211" s="48"/>
      <c r="H211" s="48"/>
      <c r="I211" s="48"/>
      <c r="J211" s="48"/>
      <c r="K211" s="48"/>
      <c r="L211" s="48"/>
      <c r="M211" s="48"/>
      <c r="N211" s="48"/>
      <c r="O211" s="50"/>
      <c r="P211" s="21">
        <f>SUM(D211:O211)</f>
        <v>131491.26</v>
      </c>
    </row>
    <row r="212" spans="3:16" ht="13.5" customHeight="1" thickBot="1">
      <c r="C212" s="6" t="s">
        <v>20</v>
      </c>
      <c r="D212" s="22">
        <f aca="true" t="shared" si="2" ref="D212:O212">SUM(D209:D211)</f>
        <v>44080.42</v>
      </c>
      <c r="E212" s="22">
        <f t="shared" si="2"/>
        <v>43830.42</v>
      </c>
      <c r="F212" s="22">
        <f t="shared" si="2"/>
        <v>43830.42</v>
      </c>
      <c r="G212" s="22">
        <f t="shared" si="2"/>
        <v>0</v>
      </c>
      <c r="H212" s="22">
        <f t="shared" si="2"/>
        <v>0</v>
      </c>
      <c r="I212" s="22">
        <f t="shared" si="2"/>
        <v>0</v>
      </c>
      <c r="J212" s="22">
        <f t="shared" si="2"/>
        <v>0</v>
      </c>
      <c r="K212" s="22">
        <f t="shared" si="2"/>
        <v>0</v>
      </c>
      <c r="L212" s="22">
        <f t="shared" si="2"/>
        <v>0</v>
      </c>
      <c r="M212" s="22">
        <f t="shared" si="2"/>
        <v>0</v>
      </c>
      <c r="N212" s="22">
        <f t="shared" si="2"/>
        <v>0</v>
      </c>
      <c r="O212" s="30">
        <f t="shared" si="2"/>
        <v>0</v>
      </c>
      <c r="P212" s="22">
        <f>SUM(P209:P211)</f>
        <v>131741.26</v>
      </c>
    </row>
    <row r="213" ht="13.5" customHeight="1">
      <c r="C213" s="10"/>
    </row>
    <row r="214" spans="2:3" ht="13.5" customHeight="1">
      <c r="B214" s="35" t="s">
        <v>104</v>
      </c>
      <c r="C214" s="25" t="s">
        <v>69</v>
      </c>
    </row>
    <row r="215" ht="13.5" customHeight="1">
      <c r="C215" s="4" t="str">
        <f>C197</f>
        <v>Debt Reserve</v>
      </c>
    </row>
    <row r="216" ht="13.5" customHeight="1">
      <c r="C216" s="4" t="str">
        <f>C198</f>
        <v>Treasury Fee</v>
      </c>
    </row>
    <row r="217" ht="13.5" customHeight="1" thickBot="1">
      <c r="C217" s="4" t="str">
        <f>C199</f>
        <v>Intercept</v>
      </c>
    </row>
    <row r="218" ht="13.5" customHeight="1" thickBot="1">
      <c r="C218" s="6" t="s">
        <v>70</v>
      </c>
    </row>
    <row r="219" ht="13.5" customHeight="1">
      <c r="C219" s="10"/>
    </row>
    <row r="220" spans="1:3" ht="13.5" customHeight="1">
      <c r="A220" s="1">
        <v>1</v>
      </c>
      <c r="C220" s="5" t="s">
        <v>71</v>
      </c>
    </row>
    <row r="221" spans="3:16" ht="13.5" customHeight="1">
      <c r="C221" s="4" t="str">
        <f>C203</f>
        <v>Debt Reserve</v>
      </c>
      <c r="D221" s="48">
        <v>313.33</v>
      </c>
      <c r="E221" s="48">
        <v>313.33</v>
      </c>
      <c r="F221" s="48">
        <v>313.33</v>
      </c>
      <c r="G221" s="48">
        <v>313.33</v>
      </c>
      <c r="H221" s="48">
        <v>313.33</v>
      </c>
      <c r="I221" s="48">
        <v>313.33</v>
      </c>
      <c r="J221" s="48">
        <v>299.12</v>
      </c>
      <c r="K221" s="48">
        <v>299.12</v>
      </c>
      <c r="L221" s="48">
        <v>299.12</v>
      </c>
      <c r="M221" s="48">
        <v>299.12</v>
      </c>
      <c r="N221" s="48">
        <v>299.12</v>
      </c>
      <c r="O221" s="50">
        <v>299.12</v>
      </c>
      <c r="P221" s="21">
        <f>SUM(D221:O221)</f>
        <v>3674.6999999999994</v>
      </c>
    </row>
    <row r="222" spans="3:16" ht="13.5" customHeight="1">
      <c r="C222" s="4" t="str">
        <f>C204</f>
        <v>Treasury Fee</v>
      </c>
      <c r="D222" s="48">
        <v>250</v>
      </c>
      <c r="P222" s="21">
        <f>SUM(D222:O222)</f>
        <v>250</v>
      </c>
    </row>
    <row r="223" spans="3:16" ht="13.5" customHeight="1" thickBot="1">
      <c r="C223" s="4" t="str">
        <f>C205</f>
        <v>Intercept</v>
      </c>
      <c r="D223" s="48">
        <f>14166.67+13601.88</f>
        <v>27768.55</v>
      </c>
      <c r="E223" s="48">
        <f>14166.67+13601.88</f>
        <v>27768.55</v>
      </c>
      <c r="F223" s="48">
        <f>14166.67+13601.88</f>
        <v>27768.55</v>
      </c>
      <c r="G223" s="48">
        <f>14166.67+13601.88</f>
        <v>27768.55</v>
      </c>
      <c r="H223" s="48">
        <f>14166.67+13601.88</f>
        <v>27768.55</v>
      </c>
      <c r="I223" s="48">
        <f>14583.33+12992.71</f>
        <v>27576.04</v>
      </c>
      <c r="J223" s="48">
        <f aca="true" t="shared" si="3" ref="J223:O223">14583.33+12992.71</f>
        <v>27576.04</v>
      </c>
      <c r="K223" s="48">
        <f t="shared" si="3"/>
        <v>27576.04</v>
      </c>
      <c r="L223" s="48">
        <f t="shared" si="3"/>
        <v>27576.04</v>
      </c>
      <c r="M223" s="48">
        <f t="shared" si="3"/>
        <v>27576.04</v>
      </c>
      <c r="N223" s="48">
        <f t="shared" si="3"/>
        <v>27576.04</v>
      </c>
      <c r="O223" s="50">
        <f t="shared" si="3"/>
        <v>27576.04</v>
      </c>
      <c r="P223" s="21">
        <f>SUM(D223:O223)</f>
        <v>331875.02999999997</v>
      </c>
    </row>
    <row r="224" spans="3:16" ht="13.5" customHeight="1" thickBot="1">
      <c r="C224" s="6" t="s">
        <v>72</v>
      </c>
      <c r="D224" s="22">
        <f aca="true" t="shared" si="4" ref="D224:O224">SUM(D221:D223)</f>
        <v>28331.879999999997</v>
      </c>
      <c r="E224" s="22">
        <f t="shared" si="4"/>
        <v>28081.88</v>
      </c>
      <c r="F224" s="22">
        <f t="shared" si="4"/>
        <v>28081.88</v>
      </c>
      <c r="G224" s="22">
        <f t="shared" si="4"/>
        <v>28081.88</v>
      </c>
      <c r="H224" s="22">
        <f t="shared" si="4"/>
        <v>28081.88</v>
      </c>
      <c r="I224" s="22">
        <f t="shared" si="4"/>
        <v>27889.370000000003</v>
      </c>
      <c r="J224" s="22">
        <f t="shared" si="4"/>
        <v>27875.16</v>
      </c>
      <c r="K224" s="22">
        <f t="shared" si="4"/>
        <v>27875.16</v>
      </c>
      <c r="L224" s="22">
        <f t="shared" si="4"/>
        <v>27875.16</v>
      </c>
      <c r="M224" s="22">
        <f t="shared" si="4"/>
        <v>27875.16</v>
      </c>
      <c r="N224" s="22">
        <f t="shared" si="4"/>
        <v>27875.16</v>
      </c>
      <c r="O224" s="30">
        <f t="shared" si="4"/>
        <v>27875.16</v>
      </c>
      <c r="P224" s="22">
        <f>SUM(P221:P223)</f>
        <v>335799.73</v>
      </c>
    </row>
    <row r="225" ht="13.5" customHeight="1">
      <c r="C225" s="10"/>
    </row>
    <row r="226" spans="2:3" ht="13.5" customHeight="1">
      <c r="B226" s="35" t="s">
        <v>104</v>
      </c>
      <c r="C226" s="33" t="s">
        <v>73</v>
      </c>
    </row>
    <row r="227" ht="13.5" customHeight="1">
      <c r="C227" s="4" t="str">
        <f>C209</f>
        <v>Debt Reserve</v>
      </c>
    </row>
    <row r="228" ht="13.5" customHeight="1">
      <c r="C228" s="4" t="str">
        <f>C210</f>
        <v>Treasury Fee</v>
      </c>
    </row>
    <row r="229" ht="13.5" customHeight="1" thickBot="1">
      <c r="C229" s="4" t="str">
        <f>C211</f>
        <v>Intercept</v>
      </c>
    </row>
    <row r="230" ht="13.5" customHeight="1" thickBot="1">
      <c r="C230" s="12" t="s">
        <v>74</v>
      </c>
    </row>
    <row r="231" ht="13.5" customHeight="1">
      <c r="C231" s="10"/>
    </row>
    <row r="232" spans="2:3" ht="13.5" customHeight="1">
      <c r="B232" s="35" t="s">
        <v>104</v>
      </c>
      <c r="C232" s="33" t="s">
        <v>75</v>
      </c>
    </row>
    <row r="233" spans="3:16" ht="13.5" customHeight="1">
      <c r="C233" s="4" t="str">
        <f>C221</f>
        <v>Debt Reserve</v>
      </c>
      <c r="D233" s="48">
        <v>977.08</v>
      </c>
      <c r="E233" s="48">
        <v>977.08</v>
      </c>
      <c r="F233" s="48">
        <v>977.08</v>
      </c>
      <c r="G233" s="48">
        <v>977.08</v>
      </c>
      <c r="H233" s="48"/>
      <c r="I233" s="48"/>
      <c r="J233" s="48"/>
      <c r="K233" s="48"/>
      <c r="L233" s="48"/>
      <c r="M233" s="48"/>
      <c r="N233" s="48"/>
      <c r="O233" s="50"/>
      <c r="P233" s="21">
        <f>SUM(D233:O233)</f>
        <v>3908.32</v>
      </c>
    </row>
    <row r="234" spans="3:16" ht="13.5" customHeight="1">
      <c r="C234" s="4" t="str">
        <f>C222</f>
        <v>Treasury Fee</v>
      </c>
      <c r="D234" s="48">
        <v>250</v>
      </c>
      <c r="P234" s="21">
        <f>SUM(D234:O234)</f>
        <v>250</v>
      </c>
    </row>
    <row r="235" spans="3:16" ht="13.5" customHeight="1" thickBot="1">
      <c r="C235" s="4" t="str">
        <f>C223</f>
        <v>Intercept</v>
      </c>
      <c r="D235" s="48">
        <f>36666.67+43239.58</f>
        <v>79906.25</v>
      </c>
      <c r="E235" s="48">
        <f>38333.33+41772.92</f>
        <v>80106.25</v>
      </c>
      <c r="F235" s="48">
        <f>38333.33+41772.92</f>
        <v>80106.25</v>
      </c>
      <c r="G235" s="48">
        <f>38333.33+41772.92</f>
        <v>80106.25</v>
      </c>
      <c r="H235" s="48"/>
      <c r="I235" s="48"/>
      <c r="J235" s="48"/>
      <c r="K235" s="48"/>
      <c r="L235" s="48"/>
      <c r="M235" s="48"/>
      <c r="N235" s="48"/>
      <c r="O235" s="50"/>
      <c r="P235" s="21">
        <f>SUM(D235:O235)</f>
        <v>320225</v>
      </c>
    </row>
    <row r="236" spans="3:16" ht="13.5" customHeight="1" thickBot="1">
      <c r="C236" s="12" t="s">
        <v>76</v>
      </c>
      <c r="D236" s="22">
        <f aca="true" t="shared" si="5" ref="D236:O236">SUM(D233:D235)</f>
        <v>81133.33</v>
      </c>
      <c r="E236" s="22">
        <f t="shared" si="5"/>
        <v>81083.33</v>
      </c>
      <c r="F236" s="22">
        <f t="shared" si="5"/>
        <v>81083.33</v>
      </c>
      <c r="G236" s="22">
        <f t="shared" si="5"/>
        <v>81083.33</v>
      </c>
      <c r="H236" s="22">
        <f t="shared" si="5"/>
        <v>0</v>
      </c>
      <c r="I236" s="22">
        <f t="shared" si="5"/>
        <v>0</v>
      </c>
      <c r="J236" s="22">
        <f t="shared" si="5"/>
        <v>0</v>
      </c>
      <c r="K236" s="22">
        <f t="shared" si="5"/>
        <v>0</v>
      </c>
      <c r="L236" s="22">
        <f t="shared" si="5"/>
        <v>0</v>
      </c>
      <c r="M236" s="22">
        <f t="shared" si="5"/>
        <v>0</v>
      </c>
      <c r="N236" s="22">
        <f t="shared" si="5"/>
        <v>0</v>
      </c>
      <c r="O236" s="30">
        <f t="shared" si="5"/>
        <v>0</v>
      </c>
      <c r="P236" s="22">
        <f>SUM(P233:P235)</f>
        <v>324383.32</v>
      </c>
    </row>
    <row r="237" ht="13.5" customHeight="1">
      <c r="C237" s="10"/>
    </row>
    <row r="238" spans="1:3" ht="13.5" customHeight="1">
      <c r="A238" s="1">
        <f>A220+1</f>
        <v>2</v>
      </c>
      <c r="C238" s="11" t="s">
        <v>77</v>
      </c>
    </row>
    <row r="239" spans="3:16" ht="13.5" customHeight="1">
      <c r="C239" s="4" t="str">
        <f>C227</f>
        <v>Debt Reserve</v>
      </c>
      <c r="D239" s="48">
        <v>552.5</v>
      </c>
      <c r="E239" s="48">
        <v>552.5</v>
      </c>
      <c r="F239" s="48">
        <v>552.5</v>
      </c>
      <c r="G239" s="48">
        <v>552.5</v>
      </c>
      <c r="H239" s="48">
        <v>552.5</v>
      </c>
      <c r="I239" s="48">
        <v>552.5</v>
      </c>
      <c r="J239" s="48">
        <v>552.5</v>
      </c>
      <c r="K239" s="48">
        <v>552.5</v>
      </c>
      <c r="L239" s="48">
        <v>552.5</v>
      </c>
      <c r="M239" s="48">
        <v>552.5</v>
      </c>
      <c r="N239" s="48">
        <v>552.5</v>
      </c>
      <c r="O239" s="50">
        <v>530.42</v>
      </c>
      <c r="P239" s="21">
        <f>SUM(D239:O239)</f>
        <v>6607.92</v>
      </c>
    </row>
    <row r="240" spans="3:16" ht="13.5" customHeight="1">
      <c r="C240" s="4" t="str">
        <f>C228</f>
        <v>Treasury Fee</v>
      </c>
      <c r="D240" s="48">
        <v>250</v>
      </c>
      <c r="P240" s="21">
        <f>SUM(D240:O240)</f>
        <v>250</v>
      </c>
    </row>
    <row r="241" spans="3:16" ht="13.5" customHeight="1" thickBot="1">
      <c r="C241" s="4" t="str">
        <f>C229</f>
        <v>Intercept</v>
      </c>
      <c r="D241" s="48">
        <f aca="true" t="shared" si="6" ref="D241:K241">22083.33+25288.23</f>
        <v>47371.56</v>
      </c>
      <c r="E241" s="48">
        <f t="shared" si="6"/>
        <v>47371.56</v>
      </c>
      <c r="F241" s="48">
        <f t="shared" si="6"/>
        <v>47371.56</v>
      </c>
      <c r="G241" s="48">
        <f t="shared" si="6"/>
        <v>47371.56</v>
      </c>
      <c r="H241" s="48">
        <f t="shared" si="6"/>
        <v>47371.56</v>
      </c>
      <c r="I241" s="48">
        <f t="shared" si="6"/>
        <v>47371.56</v>
      </c>
      <c r="J241" s="48">
        <f t="shared" si="6"/>
        <v>47371.56</v>
      </c>
      <c r="K241" s="48">
        <f t="shared" si="6"/>
        <v>47371.56</v>
      </c>
      <c r="L241" s="48">
        <f>23333.33+24294.48</f>
        <v>47627.81</v>
      </c>
      <c r="M241" s="48">
        <f>23333.33+24294.48</f>
        <v>47627.81</v>
      </c>
      <c r="N241" s="48">
        <f>23333.33+24294.48</f>
        <v>47627.81</v>
      </c>
      <c r="O241" s="50">
        <f>23333.33+24294.48</f>
        <v>47627.81</v>
      </c>
      <c r="P241" s="21">
        <f>SUM(D241:O241)</f>
        <v>569483.72</v>
      </c>
    </row>
    <row r="242" spans="3:16" ht="13.5" customHeight="1" thickBot="1">
      <c r="C242" s="12" t="s">
        <v>78</v>
      </c>
      <c r="D242" s="22">
        <f aca="true" t="shared" si="7" ref="D242:O242">SUM(D239:D241)</f>
        <v>48174.06</v>
      </c>
      <c r="E242" s="22">
        <f t="shared" si="7"/>
        <v>47924.06</v>
      </c>
      <c r="F242" s="22">
        <f t="shared" si="7"/>
        <v>47924.06</v>
      </c>
      <c r="G242" s="22">
        <f t="shared" si="7"/>
        <v>47924.06</v>
      </c>
      <c r="H242" s="22">
        <f t="shared" si="7"/>
        <v>47924.06</v>
      </c>
      <c r="I242" s="22">
        <f t="shared" si="7"/>
        <v>47924.06</v>
      </c>
      <c r="J242" s="22">
        <f t="shared" si="7"/>
        <v>47924.06</v>
      </c>
      <c r="K242" s="22">
        <f t="shared" si="7"/>
        <v>47924.06</v>
      </c>
      <c r="L242" s="22">
        <f t="shared" si="7"/>
        <v>48180.31</v>
      </c>
      <c r="M242" s="22">
        <f t="shared" si="7"/>
        <v>48180.31</v>
      </c>
      <c r="N242" s="22">
        <f t="shared" si="7"/>
        <v>48180.31</v>
      </c>
      <c r="O242" s="30">
        <f t="shared" si="7"/>
        <v>48158.229999999996</v>
      </c>
      <c r="P242" s="22">
        <f>SUM(P239:P241)</f>
        <v>576341.64</v>
      </c>
    </row>
    <row r="243" ht="13.5" customHeight="1">
      <c r="C243" s="10"/>
    </row>
    <row r="244" spans="2:3" ht="13.5" customHeight="1">
      <c r="B244" s="35" t="s">
        <v>104</v>
      </c>
      <c r="C244" s="33" t="s">
        <v>79</v>
      </c>
    </row>
    <row r="245" ht="13.5" customHeight="1">
      <c r="C245" s="4" t="str">
        <f>C239</f>
        <v>Debt Reserve</v>
      </c>
    </row>
    <row r="246" ht="13.5" customHeight="1">
      <c r="C246" s="4" t="str">
        <f>C240</f>
        <v>Treasury Fee</v>
      </c>
    </row>
    <row r="247" ht="13.5" customHeight="1" thickBot="1">
      <c r="C247" s="4" t="str">
        <f>C241</f>
        <v>Intercept</v>
      </c>
    </row>
    <row r="248" ht="13.5" customHeight="1" thickBot="1">
      <c r="C248" s="6" t="s">
        <v>30</v>
      </c>
    </row>
    <row r="249" ht="13.5" customHeight="1">
      <c r="C249" s="10"/>
    </row>
    <row r="250" spans="2:3" ht="13.5" customHeight="1">
      <c r="B250" s="35" t="s">
        <v>104</v>
      </c>
      <c r="C250" s="33" t="s">
        <v>80</v>
      </c>
    </row>
    <row r="251" ht="13.5" customHeight="1">
      <c r="C251" s="4" t="str">
        <f>C245</f>
        <v>Debt Reserve</v>
      </c>
    </row>
    <row r="252" ht="13.5" customHeight="1">
      <c r="C252" s="4" t="str">
        <f>C246</f>
        <v>Treasury Fee</v>
      </c>
    </row>
    <row r="253" ht="13.5" customHeight="1" thickBot="1">
      <c r="C253" s="4" t="str">
        <f>C247</f>
        <v>Intercept</v>
      </c>
    </row>
    <row r="254" ht="13.5" customHeight="1" thickBot="1">
      <c r="C254" s="6" t="s">
        <v>32</v>
      </c>
    </row>
    <row r="255" ht="13.5" customHeight="1">
      <c r="C255" s="10"/>
    </row>
    <row r="256" spans="2:3" ht="13.5" customHeight="1">
      <c r="B256" s="35" t="s">
        <v>104</v>
      </c>
      <c r="C256" s="33" t="s">
        <v>81</v>
      </c>
    </row>
    <row r="257" ht="13.5" customHeight="1">
      <c r="C257" s="4" t="str">
        <f>C251</f>
        <v>Debt Reserve</v>
      </c>
    </row>
    <row r="258" ht="13.5" customHeight="1">
      <c r="C258" s="4" t="str">
        <f>C252</f>
        <v>Treasury Fee</v>
      </c>
    </row>
    <row r="259" ht="13.5" customHeight="1" thickBot="1">
      <c r="C259" s="4" t="str">
        <f>C253</f>
        <v>Intercept</v>
      </c>
    </row>
    <row r="260" ht="13.5" customHeight="1" thickBot="1">
      <c r="C260" s="12" t="s">
        <v>82</v>
      </c>
    </row>
    <row r="261" ht="13.5" customHeight="1">
      <c r="C261" s="13"/>
    </row>
    <row r="262" spans="1:3" ht="13.5" customHeight="1">
      <c r="A262" s="14"/>
      <c r="B262" s="36" t="s">
        <v>103</v>
      </c>
      <c r="C262" s="26" t="s">
        <v>84</v>
      </c>
    </row>
    <row r="263" ht="13.5" customHeight="1">
      <c r="C263" s="4" t="str">
        <f>C257</f>
        <v>Debt Reserve</v>
      </c>
    </row>
    <row r="264" ht="13.5" customHeight="1">
      <c r="C264" s="4" t="str">
        <f>C258</f>
        <v>Treasury Fee</v>
      </c>
    </row>
    <row r="265" ht="13.5" customHeight="1" thickBot="1">
      <c r="C265" s="4" t="str">
        <f>C259</f>
        <v>Intercept</v>
      </c>
    </row>
    <row r="266" ht="13.5" customHeight="1" thickBot="1">
      <c r="C266" s="12" t="s">
        <v>85</v>
      </c>
    </row>
    <row r="267" ht="13.5" customHeight="1">
      <c r="C267" s="13"/>
    </row>
    <row r="268" spans="1:3" ht="13.5" customHeight="1">
      <c r="A268" s="14"/>
      <c r="B268" s="35" t="s">
        <v>104</v>
      </c>
      <c r="C268" s="33" t="s">
        <v>87</v>
      </c>
    </row>
    <row r="269" ht="13.5" customHeight="1">
      <c r="C269" s="4" t="str">
        <f>C263</f>
        <v>Debt Reserve</v>
      </c>
    </row>
    <row r="270" ht="13.5" customHeight="1">
      <c r="C270" s="4" t="str">
        <f>C264</f>
        <v>Treasury Fee</v>
      </c>
    </row>
    <row r="271" ht="13.5" customHeight="1" thickBot="1">
      <c r="C271" s="4" t="str">
        <f>C265</f>
        <v>Intercept</v>
      </c>
    </row>
    <row r="272" ht="13.5" customHeight="1" thickBot="1">
      <c r="C272" s="12" t="s">
        <v>88</v>
      </c>
    </row>
    <row r="273" ht="13.5" customHeight="1">
      <c r="C273" s="13"/>
    </row>
    <row r="274" spans="1:3" ht="13.5" customHeight="1">
      <c r="A274" s="14">
        <f>+A238+1</f>
        <v>3</v>
      </c>
      <c r="C274" s="11" t="s">
        <v>89</v>
      </c>
    </row>
    <row r="275" spans="3:16" ht="13.5" customHeight="1">
      <c r="C275" s="4" t="str">
        <f>C269</f>
        <v>Debt Reserve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9">
        <v>0</v>
      </c>
      <c r="P275" s="21">
        <f>SUM(D275:O275)</f>
        <v>0</v>
      </c>
    </row>
    <row r="276" spans="3:16" ht="13.5" customHeight="1">
      <c r="C276" s="4" t="str">
        <f>C270</f>
        <v>Treasury Fee</v>
      </c>
      <c r="D276" s="48">
        <v>250</v>
      </c>
      <c r="P276" s="21">
        <f>SUM(D276:O276)</f>
        <v>250</v>
      </c>
    </row>
    <row r="277" spans="3:16" ht="13.5" customHeight="1" thickBot="1">
      <c r="C277" s="4" t="str">
        <f>C271</f>
        <v>Intercept</v>
      </c>
      <c r="D277" s="48">
        <f aca="true" t="shared" si="8" ref="D277:M277">3750+10218.75</f>
        <v>13968.75</v>
      </c>
      <c r="E277" s="48">
        <f t="shared" si="8"/>
        <v>13968.75</v>
      </c>
      <c r="F277" s="48">
        <f t="shared" si="8"/>
        <v>13968.75</v>
      </c>
      <c r="G277" s="48">
        <f t="shared" si="8"/>
        <v>13968.75</v>
      </c>
      <c r="H277" s="48">
        <f t="shared" si="8"/>
        <v>13968.75</v>
      </c>
      <c r="I277" s="48">
        <f t="shared" si="8"/>
        <v>13968.75</v>
      </c>
      <c r="J277" s="48">
        <f t="shared" si="8"/>
        <v>13968.75</v>
      </c>
      <c r="K277" s="48">
        <f t="shared" si="8"/>
        <v>13968.75</v>
      </c>
      <c r="L277" s="48">
        <f t="shared" si="8"/>
        <v>13968.75</v>
      </c>
      <c r="M277" s="48">
        <f t="shared" si="8"/>
        <v>13968.75</v>
      </c>
      <c r="N277" s="48">
        <f>4166.67+9937.5</f>
        <v>14104.17</v>
      </c>
      <c r="O277" s="50">
        <f>4166.67+9937.5</f>
        <v>14104.17</v>
      </c>
      <c r="P277" s="21">
        <f>SUM(D277:O277)</f>
        <v>167895.84000000003</v>
      </c>
    </row>
    <row r="278" spans="3:16" ht="13.5" customHeight="1" thickBot="1">
      <c r="C278" s="12" t="s">
        <v>90</v>
      </c>
      <c r="D278" s="22">
        <f aca="true" t="shared" si="9" ref="D278:O278">SUM(D275:D277)</f>
        <v>14218.75</v>
      </c>
      <c r="E278" s="22">
        <f t="shared" si="9"/>
        <v>13968.75</v>
      </c>
      <c r="F278" s="22">
        <f t="shared" si="9"/>
        <v>13968.75</v>
      </c>
      <c r="G278" s="22">
        <f t="shared" si="9"/>
        <v>13968.75</v>
      </c>
      <c r="H278" s="22">
        <f t="shared" si="9"/>
        <v>13968.75</v>
      </c>
      <c r="I278" s="22">
        <f t="shared" si="9"/>
        <v>13968.75</v>
      </c>
      <c r="J278" s="22">
        <f t="shared" si="9"/>
        <v>13968.75</v>
      </c>
      <c r="K278" s="22">
        <f t="shared" si="9"/>
        <v>13968.75</v>
      </c>
      <c r="L278" s="22">
        <f t="shared" si="9"/>
        <v>13968.75</v>
      </c>
      <c r="M278" s="22">
        <f t="shared" si="9"/>
        <v>13968.75</v>
      </c>
      <c r="N278" s="22">
        <f t="shared" si="9"/>
        <v>14104.17</v>
      </c>
      <c r="O278" s="30">
        <f t="shared" si="9"/>
        <v>14104.17</v>
      </c>
      <c r="P278" s="22">
        <f>SUM(P275:P277)</f>
        <v>168145.84000000003</v>
      </c>
    </row>
    <row r="279" ht="13.5" customHeight="1">
      <c r="C279" s="13"/>
    </row>
    <row r="280" spans="1:3" ht="13.5" customHeight="1">
      <c r="A280" s="14"/>
      <c r="B280" s="35" t="s">
        <v>104</v>
      </c>
      <c r="C280" s="33" t="s">
        <v>91</v>
      </c>
    </row>
    <row r="281" ht="13.5" customHeight="1">
      <c r="C281" s="4" t="str">
        <f>C275</f>
        <v>Debt Reserve</v>
      </c>
    </row>
    <row r="282" ht="13.5" customHeight="1">
      <c r="C282" s="4" t="str">
        <f>C276</f>
        <v>Treasury Fee</v>
      </c>
    </row>
    <row r="283" ht="13.5" customHeight="1" thickBot="1">
      <c r="C283" s="4" t="str">
        <f>C277</f>
        <v>Intercept</v>
      </c>
    </row>
    <row r="284" ht="13.5" customHeight="1" thickBot="1">
      <c r="C284" s="12" t="s">
        <v>92</v>
      </c>
    </row>
    <row r="285" ht="13.5" customHeight="1">
      <c r="C285" s="13"/>
    </row>
    <row r="286" spans="1:3" ht="13.5" customHeight="1">
      <c r="A286" s="14"/>
      <c r="B286" s="37" t="s">
        <v>104</v>
      </c>
      <c r="C286" s="33" t="s">
        <v>157</v>
      </c>
    </row>
    <row r="287" ht="13.5" customHeight="1">
      <c r="C287" s="4" t="str">
        <f>C281</f>
        <v>Debt Reserve</v>
      </c>
    </row>
    <row r="288" ht="13.5" customHeight="1">
      <c r="C288" s="4" t="str">
        <f>C282</f>
        <v>Treasury Fee</v>
      </c>
    </row>
    <row r="289" ht="13.5" customHeight="1" thickBot="1">
      <c r="C289" s="4" t="str">
        <f>C283</f>
        <v>Intercept</v>
      </c>
    </row>
    <row r="290" ht="13.5" customHeight="1" thickBot="1">
      <c r="C290" s="12" t="s">
        <v>93</v>
      </c>
    </row>
    <row r="291" ht="13.5" customHeight="1">
      <c r="C291" s="13"/>
    </row>
    <row r="292" spans="1:3" ht="13.5" customHeight="1">
      <c r="A292" s="14"/>
      <c r="B292" s="35" t="s">
        <v>104</v>
      </c>
      <c r="C292" s="33" t="s">
        <v>94</v>
      </c>
    </row>
    <row r="293" ht="13.5" customHeight="1">
      <c r="C293" s="4" t="str">
        <f>C287</f>
        <v>Debt Reserve</v>
      </c>
    </row>
    <row r="294" ht="13.5" customHeight="1">
      <c r="C294" s="4" t="str">
        <f>C288</f>
        <v>Treasury Fee</v>
      </c>
    </row>
    <row r="295" ht="13.5" customHeight="1" thickBot="1">
      <c r="C295" s="4" t="str">
        <f>C289</f>
        <v>Intercept</v>
      </c>
    </row>
    <row r="296" ht="13.5" customHeight="1" thickBot="1">
      <c r="C296" s="12" t="s">
        <v>95</v>
      </c>
    </row>
    <row r="297" ht="13.5" customHeight="1">
      <c r="C297" s="13"/>
    </row>
    <row r="298" spans="1:3" ht="13.5" customHeight="1">
      <c r="A298" s="14"/>
      <c r="B298" s="38" t="s">
        <v>103</v>
      </c>
      <c r="C298" s="15" t="s">
        <v>96</v>
      </c>
    </row>
    <row r="299" ht="13.5" customHeight="1">
      <c r="C299" s="4" t="str">
        <f>C293</f>
        <v>Debt Reserve</v>
      </c>
    </row>
    <row r="300" ht="13.5" customHeight="1">
      <c r="C300" s="4" t="str">
        <f>C294</f>
        <v>Treasury Fee</v>
      </c>
    </row>
    <row r="301" ht="13.5" customHeight="1" thickBot="1">
      <c r="C301" s="4" t="str">
        <f>C295</f>
        <v>Intercept</v>
      </c>
    </row>
    <row r="302" ht="13.5" customHeight="1" thickBot="1">
      <c r="C302" s="12" t="s">
        <v>97</v>
      </c>
    </row>
    <row r="303" ht="13.5" customHeight="1">
      <c r="C303" s="13"/>
    </row>
    <row r="304" spans="1:3" ht="13.5" customHeight="1">
      <c r="A304" s="14"/>
      <c r="B304" s="35" t="s">
        <v>104</v>
      </c>
      <c r="C304" s="25" t="s">
        <v>98</v>
      </c>
    </row>
    <row r="305" ht="13.5" customHeight="1">
      <c r="C305" s="4" t="str">
        <f>C299</f>
        <v>Debt Reserve</v>
      </c>
    </row>
    <row r="306" ht="13.5" customHeight="1">
      <c r="C306" s="4" t="str">
        <f>C300</f>
        <v>Treasury Fee</v>
      </c>
    </row>
    <row r="307" ht="13.5" customHeight="1" thickBot="1">
      <c r="C307" s="4" t="str">
        <f>C301</f>
        <v>Intercept</v>
      </c>
    </row>
    <row r="308" ht="13.5" customHeight="1" thickBot="1">
      <c r="C308" s="6" t="s">
        <v>99</v>
      </c>
    </row>
    <row r="309" ht="13.5" customHeight="1">
      <c r="C309" s="13"/>
    </row>
    <row r="310" spans="1:3" ht="13.5" customHeight="1">
      <c r="A310" s="14">
        <f>+A274+1</f>
        <v>4</v>
      </c>
      <c r="B310" s="39"/>
      <c r="C310" s="5" t="s">
        <v>100</v>
      </c>
    </row>
    <row r="311" spans="3:16" ht="13.5" customHeight="1">
      <c r="C311" s="4" t="str">
        <f>C305</f>
        <v>Debt Reserve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9">
        <v>0</v>
      </c>
      <c r="P311" s="21">
        <f>SUM(D311:O311)</f>
        <v>0</v>
      </c>
    </row>
    <row r="312" spans="3:16" ht="13.5" customHeight="1">
      <c r="C312" s="4" t="str">
        <f>C306</f>
        <v>Treasury Fee</v>
      </c>
      <c r="D312" s="48">
        <v>250</v>
      </c>
      <c r="P312" s="21">
        <f>SUM(D312:O312)</f>
        <v>250</v>
      </c>
    </row>
    <row r="313" spans="3:16" ht="13.5" customHeight="1" thickBot="1">
      <c r="C313" s="4" t="str">
        <f>C307</f>
        <v>Intercept</v>
      </c>
      <c r="D313" s="48">
        <v>55846.88</v>
      </c>
      <c r="E313" s="48">
        <v>55846.88</v>
      </c>
      <c r="F313" s="48">
        <v>55846.88</v>
      </c>
      <c r="G313" s="48">
        <v>55846.88</v>
      </c>
      <c r="H313" s="48">
        <v>55846.88</v>
      </c>
      <c r="I313" s="48">
        <v>55846.88</v>
      </c>
      <c r="J313" s="48">
        <v>55846.88</v>
      </c>
      <c r="K313" s="48">
        <v>55846.88</v>
      </c>
      <c r="L313" s="48">
        <v>55846.88</v>
      </c>
      <c r="M313" s="48">
        <v>55846.88</v>
      </c>
      <c r="N313" s="48">
        <v>55846.88</v>
      </c>
      <c r="O313" s="50">
        <v>55846.88</v>
      </c>
      <c r="P313" s="21">
        <f>SUM(D313:O313)</f>
        <v>670162.5599999999</v>
      </c>
    </row>
    <row r="314" spans="3:16" ht="13.5" customHeight="1" thickBot="1">
      <c r="C314" s="6" t="s">
        <v>101</v>
      </c>
      <c r="D314" s="22">
        <f aca="true" t="shared" si="10" ref="D314:O314">SUM(D311:D313)</f>
        <v>56096.88</v>
      </c>
      <c r="E314" s="22">
        <f t="shared" si="10"/>
        <v>55846.88</v>
      </c>
      <c r="F314" s="22">
        <f t="shared" si="10"/>
        <v>55846.88</v>
      </c>
      <c r="G314" s="22">
        <f t="shared" si="10"/>
        <v>55846.88</v>
      </c>
      <c r="H314" s="22">
        <f t="shared" si="10"/>
        <v>55846.88</v>
      </c>
      <c r="I314" s="22">
        <f t="shared" si="10"/>
        <v>55846.88</v>
      </c>
      <c r="J314" s="22">
        <f t="shared" si="10"/>
        <v>55846.88</v>
      </c>
      <c r="K314" s="22">
        <f t="shared" si="10"/>
        <v>55846.88</v>
      </c>
      <c r="L314" s="22">
        <f t="shared" si="10"/>
        <v>55846.88</v>
      </c>
      <c r="M314" s="22">
        <f t="shared" si="10"/>
        <v>55846.88</v>
      </c>
      <c r="N314" s="22">
        <f t="shared" si="10"/>
        <v>55846.88</v>
      </c>
      <c r="O314" s="30">
        <f t="shared" si="10"/>
        <v>55846.88</v>
      </c>
      <c r="P314" s="22">
        <f>SUM(P311:P313)</f>
        <v>670412.5599999999</v>
      </c>
    </row>
    <row r="315" ht="13.5" customHeight="1">
      <c r="C315" s="13"/>
    </row>
    <row r="316" spans="1:3" ht="13.5" customHeight="1">
      <c r="A316" s="14"/>
      <c r="B316" s="35" t="s">
        <v>104</v>
      </c>
      <c r="C316" s="25" t="s">
        <v>105</v>
      </c>
    </row>
    <row r="317" ht="13.5" customHeight="1">
      <c r="C317" s="4" t="str">
        <f>C311</f>
        <v>Debt Reserve</v>
      </c>
    </row>
    <row r="318" ht="13.5" customHeight="1">
      <c r="C318" s="4" t="str">
        <f>C312</f>
        <v>Treasury Fee</v>
      </c>
    </row>
    <row r="319" ht="13.5" customHeight="1" thickBot="1">
      <c r="C319" s="4" t="str">
        <f>C313</f>
        <v>Intercept</v>
      </c>
    </row>
    <row r="320" ht="13.5" customHeight="1" thickBot="1">
      <c r="C320" s="6" t="s">
        <v>106</v>
      </c>
    </row>
    <row r="321" ht="13.5" customHeight="1">
      <c r="C321" s="10"/>
    </row>
    <row r="322" spans="1:3" ht="13.5" customHeight="1">
      <c r="A322" s="14"/>
      <c r="B322" s="35" t="s">
        <v>104</v>
      </c>
      <c r="C322" s="8" t="s">
        <v>107</v>
      </c>
    </row>
    <row r="323" ht="13.5" customHeight="1">
      <c r="C323" s="4" t="str">
        <f>C317</f>
        <v>Debt Reserve</v>
      </c>
    </row>
    <row r="324" ht="13.5" customHeight="1">
      <c r="C324" s="4" t="str">
        <f>C318</f>
        <v>Treasury Fee</v>
      </c>
    </row>
    <row r="325" ht="13.5" customHeight="1" thickBot="1">
      <c r="C325" s="4" t="str">
        <f>C319</f>
        <v>Intercept</v>
      </c>
    </row>
    <row r="326" ht="13.5" customHeight="1" thickBot="1">
      <c r="C326" s="6" t="s">
        <v>108</v>
      </c>
    </row>
    <row r="327" ht="13.5" customHeight="1">
      <c r="C327" s="10"/>
    </row>
    <row r="328" spans="1:3" ht="13.5" customHeight="1">
      <c r="A328" s="14"/>
      <c r="B328" s="35" t="s">
        <v>104</v>
      </c>
      <c r="C328" s="25" t="s">
        <v>109</v>
      </c>
    </row>
    <row r="329" ht="13.5" customHeight="1">
      <c r="C329" s="4" t="str">
        <f>C323</f>
        <v>Debt Reserve</v>
      </c>
    </row>
    <row r="330" ht="13.5" customHeight="1">
      <c r="C330" s="4" t="str">
        <f>C324</f>
        <v>Treasury Fee</v>
      </c>
    </row>
    <row r="331" ht="13.5" customHeight="1" thickBot="1">
      <c r="C331" s="4" t="str">
        <f>C325</f>
        <v>Intercept</v>
      </c>
    </row>
    <row r="332" ht="13.5" customHeight="1" thickBot="1">
      <c r="C332" s="6" t="s">
        <v>110</v>
      </c>
    </row>
    <row r="333" ht="13.5" customHeight="1">
      <c r="C333" s="10"/>
    </row>
    <row r="334" spans="1:3" ht="13.5" customHeight="1">
      <c r="A334" s="14"/>
      <c r="B334" s="35" t="s">
        <v>104</v>
      </c>
      <c r="C334" s="25" t="s">
        <v>111</v>
      </c>
    </row>
    <row r="335" ht="13.5" customHeight="1">
      <c r="C335" s="4" t="str">
        <f>C329</f>
        <v>Debt Reserve</v>
      </c>
    </row>
    <row r="336" ht="13.5" customHeight="1">
      <c r="C336" s="4" t="str">
        <f>C330</f>
        <v>Treasury Fee</v>
      </c>
    </row>
    <row r="337" ht="13.5" customHeight="1" thickBot="1">
      <c r="C337" s="4" t="str">
        <f>C331</f>
        <v>Intercept</v>
      </c>
    </row>
    <row r="338" ht="13.5" customHeight="1" thickBot="1">
      <c r="C338" s="6" t="s">
        <v>112</v>
      </c>
    </row>
    <row r="339" ht="13.5" customHeight="1">
      <c r="C339" s="10"/>
    </row>
    <row r="340" spans="1:3" ht="13.5" customHeight="1">
      <c r="A340" s="14"/>
      <c r="B340" s="35" t="s">
        <v>104</v>
      </c>
      <c r="C340" s="25" t="s">
        <v>113</v>
      </c>
    </row>
    <row r="341" ht="13.5" customHeight="1">
      <c r="C341" s="4" t="str">
        <f>C335</f>
        <v>Debt Reserve</v>
      </c>
    </row>
    <row r="342" ht="13.5" customHeight="1">
      <c r="C342" s="4" t="str">
        <f>C336</f>
        <v>Treasury Fee</v>
      </c>
    </row>
    <row r="343" ht="13.5" customHeight="1" thickBot="1">
      <c r="C343" s="4" t="str">
        <f>C337</f>
        <v>Intercept</v>
      </c>
    </row>
    <row r="344" ht="13.5" customHeight="1" thickBot="1">
      <c r="C344" s="6" t="s">
        <v>26</v>
      </c>
    </row>
    <row r="345" ht="13.5" customHeight="1">
      <c r="C345" s="10"/>
    </row>
    <row r="346" spans="1:3" ht="13.5" customHeight="1">
      <c r="A346" s="14"/>
      <c r="B346" s="35" t="s">
        <v>104</v>
      </c>
      <c r="C346" s="25" t="s">
        <v>114</v>
      </c>
    </row>
    <row r="347" ht="13.5" customHeight="1">
      <c r="C347" s="4" t="str">
        <f>C341</f>
        <v>Debt Reserve</v>
      </c>
    </row>
    <row r="348" ht="13.5" customHeight="1">
      <c r="C348" s="4" t="str">
        <f>C342</f>
        <v>Treasury Fee</v>
      </c>
    </row>
    <row r="349" ht="13.5" customHeight="1" thickBot="1">
      <c r="C349" s="4" t="str">
        <f>C343</f>
        <v>Intercept</v>
      </c>
    </row>
    <row r="350" ht="13.5" customHeight="1" thickBot="1">
      <c r="C350" s="6" t="s">
        <v>115</v>
      </c>
    </row>
    <row r="351" ht="13.5" customHeight="1">
      <c r="C351" s="10"/>
    </row>
    <row r="352" spans="1:3" ht="13.5" customHeight="1">
      <c r="A352" s="14"/>
      <c r="B352" s="35" t="s">
        <v>104</v>
      </c>
      <c r="C352" s="25" t="s">
        <v>116</v>
      </c>
    </row>
    <row r="353" ht="13.5" customHeight="1">
      <c r="C353" s="4" t="str">
        <f>C347</f>
        <v>Debt Reserve</v>
      </c>
    </row>
    <row r="354" ht="13.5" customHeight="1">
      <c r="C354" s="4" t="str">
        <f>C348</f>
        <v>Treasury Fee</v>
      </c>
    </row>
    <row r="355" ht="13.5" customHeight="1" thickBot="1">
      <c r="C355" s="4" t="str">
        <f>C349</f>
        <v>Intercept</v>
      </c>
    </row>
    <row r="356" ht="13.5" customHeight="1" thickBot="1">
      <c r="C356" s="6" t="s">
        <v>117</v>
      </c>
    </row>
    <row r="357" ht="13.5" customHeight="1">
      <c r="C357" s="10"/>
    </row>
    <row r="358" spans="1:3" ht="13.5" customHeight="1">
      <c r="A358" s="14"/>
      <c r="B358" s="35" t="s">
        <v>104</v>
      </c>
      <c r="C358" s="25" t="s">
        <v>118</v>
      </c>
    </row>
    <row r="359" ht="13.5" customHeight="1">
      <c r="C359" s="4" t="str">
        <f>C353</f>
        <v>Debt Reserve</v>
      </c>
    </row>
    <row r="360" ht="13.5" customHeight="1">
      <c r="C360" s="4" t="str">
        <f>C354</f>
        <v>Treasury Fee</v>
      </c>
    </row>
    <row r="361" ht="13.5" customHeight="1" thickBot="1">
      <c r="C361" s="4" t="str">
        <f>C355</f>
        <v>Intercept</v>
      </c>
    </row>
    <row r="362" ht="13.5" customHeight="1" thickBot="1">
      <c r="C362" s="6" t="s">
        <v>119</v>
      </c>
    </row>
    <row r="363" ht="13.5" customHeight="1">
      <c r="C363" s="10"/>
    </row>
    <row r="364" spans="1:3" ht="13.5" customHeight="1">
      <c r="A364" s="14"/>
      <c r="B364" s="35" t="s">
        <v>104</v>
      </c>
      <c r="C364" s="25" t="s">
        <v>120</v>
      </c>
    </row>
    <row r="365" spans="1:3" ht="13.5" customHeight="1">
      <c r="A365" s="16"/>
      <c r="B365" s="16"/>
      <c r="C365" s="4" t="str">
        <f>C359</f>
        <v>Debt Reserve</v>
      </c>
    </row>
    <row r="366" ht="13.5" customHeight="1">
      <c r="C366" s="4" t="str">
        <f>C360</f>
        <v>Treasury Fee</v>
      </c>
    </row>
    <row r="367" ht="13.5" customHeight="1" thickBot="1">
      <c r="C367" s="4" t="str">
        <f>C361</f>
        <v>Intercept</v>
      </c>
    </row>
    <row r="368" ht="13.5" customHeight="1" thickBot="1">
      <c r="C368" s="6" t="s">
        <v>121</v>
      </c>
    </row>
    <row r="369" ht="13.5" customHeight="1">
      <c r="C369" s="10"/>
    </row>
    <row r="370" spans="1:3" ht="13.5" customHeight="1">
      <c r="A370" s="14"/>
      <c r="B370" s="35" t="s">
        <v>104</v>
      </c>
      <c r="C370" s="25" t="s">
        <v>122</v>
      </c>
    </row>
    <row r="371" spans="1:3" ht="13.5" customHeight="1">
      <c r="A371" s="16"/>
      <c r="B371" s="16"/>
      <c r="C371" s="4" t="str">
        <f>C365</f>
        <v>Debt Reserve</v>
      </c>
    </row>
    <row r="372" ht="13.5" customHeight="1">
      <c r="C372" s="4" t="str">
        <f>C366</f>
        <v>Treasury Fee</v>
      </c>
    </row>
    <row r="373" ht="13.5" customHeight="1" thickBot="1">
      <c r="C373" s="4" t="str">
        <f>C367</f>
        <v>Intercept</v>
      </c>
    </row>
    <row r="374" ht="13.5" customHeight="1" thickBot="1">
      <c r="C374" s="6" t="s">
        <v>95</v>
      </c>
    </row>
    <row r="375" ht="13.5" customHeight="1">
      <c r="C375" s="10"/>
    </row>
    <row r="376" spans="1:3" ht="13.5" customHeight="1">
      <c r="A376" s="14"/>
      <c r="B376" s="35" t="s">
        <v>104</v>
      </c>
      <c r="C376" s="25" t="s">
        <v>125</v>
      </c>
    </row>
    <row r="377" spans="1:3" ht="13.5" customHeight="1">
      <c r="A377" s="16"/>
      <c r="B377" s="16"/>
      <c r="C377" s="4" t="str">
        <f>C371</f>
        <v>Debt Reserve</v>
      </c>
    </row>
    <row r="378" ht="13.5" customHeight="1">
      <c r="C378" s="4" t="str">
        <f>C372</f>
        <v>Treasury Fee</v>
      </c>
    </row>
    <row r="379" ht="13.5" customHeight="1" thickBot="1">
      <c r="C379" s="4" t="str">
        <f>C373</f>
        <v>Intercept</v>
      </c>
    </row>
    <row r="380" ht="13.5" customHeight="1" thickBot="1">
      <c r="C380" s="6" t="s">
        <v>126</v>
      </c>
    </row>
    <row r="381" ht="13.5" customHeight="1">
      <c r="C381" s="10"/>
    </row>
    <row r="382" spans="1:3" ht="13.5" customHeight="1">
      <c r="A382" s="14"/>
      <c r="B382" s="35" t="s">
        <v>104</v>
      </c>
      <c r="C382" s="25" t="s">
        <v>127</v>
      </c>
    </row>
    <row r="383" spans="1:16" ht="13.5" customHeight="1">
      <c r="A383" s="16"/>
      <c r="B383" s="16"/>
      <c r="C383" s="4" t="str">
        <f>C377</f>
        <v>Debt Reserve</v>
      </c>
      <c r="D383" s="48">
        <v>898.75</v>
      </c>
      <c r="E383" s="48">
        <v>898.75</v>
      </c>
      <c r="F383" s="48">
        <v>898.75</v>
      </c>
      <c r="G383" s="48">
        <v>898.75</v>
      </c>
      <c r="H383" s="48">
        <v>898.75</v>
      </c>
      <c r="I383" s="48">
        <v>898.75</v>
      </c>
      <c r="J383" s="48">
        <v>874.17</v>
      </c>
      <c r="K383" s="48">
        <v>874.17</v>
      </c>
      <c r="L383" s="48"/>
      <c r="M383" s="48"/>
      <c r="N383" s="48"/>
      <c r="O383" s="50"/>
      <c r="P383" s="21">
        <f>SUM(D383:O383)</f>
        <v>7140.84</v>
      </c>
    </row>
    <row r="384" spans="2:16" ht="13.5" customHeight="1">
      <c r="B384" s="16"/>
      <c r="C384" s="4" t="str">
        <f>C378</f>
        <v>Treasury Fee</v>
      </c>
      <c r="D384" s="48">
        <v>250</v>
      </c>
      <c r="P384" s="21">
        <f>SUM(D384:O384)</f>
        <v>250</v>
      </c>
    </row>
    <row r="385" spans="2:16" ht="13.5" customHeight="1" thickBot="1">
      <c r="B385" s="16"/>
      <c r="C385" s="4" t="str">
        <f>C379</f>
        <v>Intercept</v>
      </c>
      <c r="D385" s="48">
        <f>24583.33+45671.88</f>
        <v>70255.20999999999</v>
      </c>
      <c r="E385" s="48">
        <f>24583.33+45671.88</f>
        <v>70255.20999999999</v>
      </c>
      <c r="F385" s="48">
        <f>24583.33+45671.88</f>
        <v>70255.20999999999</v>
      </c>
      <c r="G385" s="48">
        <f>24583.33+45671.88</f>
        <v>70255.20999999999</v>
      </c>
      <c r="H385" s="48">
        <f>24583.33+45671.88</f>
        <v>70255.20999999999</v>
      </c>
      <c r="I385" s="48">
        <f>25833.33+44442.71</f>
        <v>70276.04000000001</v>
      </c>
      <c r="J385" s="48">
        <f>25833.33+44442.71</f>
        <v>70276.04000000001</v>
      </c>
      <c r="K385" s="48">
        <f>25833.33+44442.71</f>
        <v>70276.04000000001</v>
      </c>
      <c r="L385" s="48"/>
      <c r="M385" s="48"/>
      <c r="N385" s="48"/>
      <c r="O385" s="50"/>
      <c r="P385" s="21">
        <f>SUM(D385:O385)</f>
        <v>562104.17</v>
      </c>
    </row>
    <row r="386" spans="2:16" ht="13.5" customHeight="1" thickBot="1">
      <c r="B386" s="16"/>
      <c r="C386" s="6" t="s">
        <v>128</v>
      </c>
      <c r="D386" s="22">
        <f aca="true" t="shared" si="11" ref="D386:O386">SUM(D383:D385)</f>
        <v>71403.95999999999</v>
      </c>
      <c r="E386" s="22">
        <f t="shared" si="11"/>
        <v>71153.95999999999</v>
      </c>
      <c r="F386" s="22">
        <f t="shared" si="11"/>
        <v>71153.95999999999</v>
      </c>
      <c r="G386" s="22">
        <f t="shared" si="11"/>
        <v>71153.95999999999</v>
      </c>
      <c r="H386" s="22">
        <f t="shared" si="11"/>
        <v>71153.95999999999</v>
      </c>
      <c r="I386" s="22">
        <f t="shared" si="11"/>
        <v>71174.79000000001</v>
      </c>
      <c r="J386" s="22">
        <f t="shared" si="11"/>
        <v>71150.21</v>
      </c>
      <c r="K386" s="22">
        <f t="shared" si="11"/>
        <v>71150.21</v>
      </c>
      <c r="L386" s="22">
        <f t="shared" si="11"/>
        <v>0</v>
      </c>
      <c r="M386" s="22">
        <f t="shared" si="11"/>
        <v>0</v>
      </c>
      <c r="N386" s="22">
        <f t="shared" si="11"/>
        <v>0</v>
      </c>
      <c r="O386" s="30">
        <f t="shared" si="11"/>
        <v>0</v>
      </c>
      <c r="P386" s="22">
        <f>SUM(P383:P385)</f>
        <v>569495.01</v>
      </c>
    </row>
    <row r="387" spans="2:3" ht="13.5" customHeight="1">
      <c r="B387" s="16"/>
      <c r="C387" s="10"/>
    </row>
    <row r="388" spans="1:3" ht="13.5" customHeight="1">
      <c r="A388" s="14">
        <f>+A310+1</f>
        <v>5</v>
      </c>
      <c r="B388" s="39"/>
      <c r="C388" s="5" t="s">
        <v>129</v>
      </c>
    </row>
    <row r="389" spans="1:16" ht="13.5" customHeight="1">
      <c r="A389" s="16"/>
      <c r="B389" s="16"/>
      <c r="C389" s="4" t="str">
        <f>C383</f>
        <v>Debt Reserve</v>
      </c>
      <c r="D389" s="48">
        <v>838.75</v>
      </c>
      <c r="E389" s="48">
        <v>838.75</v>
      </c>
      <c r="F389" s="48">
        <v>838.75</v>
      </c>
      <c r="G389" s="48">
        <v>838.75</v>
      </c>
      <c r="H389" s="48">
        <v>838.75</v>
      </c>
      <c r="I389" s="48">
        <v>838.75</v>
      </c>
      <c r="J389" s="48">
        <v>838.75</v>
      </c>
      <c r="K389" s="48">
        <v>838.75</v>
      </c>
      <c r="L389" s="48">
        <v>815.83</v>
      </c>
      <c r="M389" s="48">
        <v>815.83</v>
      </c>
      <c r="N389" s="48">
        <v>815.83</v>
      </c>
      <c r="O389" s="50">
        <v>815.83</v>
      </c>
      <c r="P389" s="21">
        <f>SUM(D389:O389)</f>
        <v>9973.32</v>
      </c>
    </row>
    <row r="390" spans="2:16" ht="13.5" customHeight="1">
      <c r="B390" s="16"/>
      <c r="C390" s="4" t="str">
        <f>C384</f>
        <v>Treasury Fee</v>
      </c>
      <c r="D390" s="48">
        <v>250</v>
      </c>
      <c r="P390" s="21">
        <f>SUM(D390:O390)</f>
        <v>250</v>
      </c>
    </row>
    <row r="391" spans="2:16" ht="13.5" customHeight="1" thickBot="1">
      <c r="B391" s="16"/>
      <c r="C391" s="4" t="str">
        <f>C385</f>
        <v>Intercept</v>
      </c>
      <c r="D391" s="48">
        <f aca="true" t="shared" si="12" ref="D391:K391">22916.67+44773.96</f>
        <v>67690.63</v>
      </c>
      <c r="E391" s="48">
        <f t="shared" si="12"/>
        <v>67690.63</v>
      </c>
      <c r="F391" s="48">
        <f t="shared" si="12"/>
        <v>67690.63</v>
      </c>
      <c r="G391" s="48">
        <f t="shared" si="12"/>
        <v>67690.63</v>
      </c>
      <c r="H391" s="48">
        <f t="shared" si="12"/>
        <v>67690.63</v>
      </c>
      <c r="I391" s="48">
        <f t="shared" si="12"/>
        <v>67690.63</v>
      </c>
      <c r="J391" s="48">
        <f t="shared" si="12"/>
        <v>67690.63</v>
      </c>
      <c r="K391" s="48">
        <f t="shared" si="12"/>
        <v>67690.63</v>
      </c>
      <c r="L391" s="48">
        <f>24166.67+43628.13</f>
        <v>67794.79999999999</v>
      </c>
      <c r="M391" s="48">
        <f>24166.67+43628.13</f>
        <v>67794.79999999999</v>
      </c>
      <c r="N391" s="48">
        <f>24166.67+43628.13</f>
        <v>67794.79999999999</v>
      </c>
      <c r="O391" s="50">
        <f>24166.67+43628.13</f>
        <v>67794.79999999999</v>
      </c>
      <c r="P391" s="21">
        <f>SUM(D391:O391)</f>
        <v>812704.2400000002</v>
      </c>
    </row>
    <row r="392" spans="2:16" ht="13.5" customHeight="1" thickBot="1">
      <c r="B392" s="16"/>
      <c r="C392" s="6" t="s">
        <v>130</v>
      </c>
      <c r="D392" s="22">
        <f aca="true" t="shared" si="13" ref="D392:O392">SUM(D389:D391)</f>
        <v>68779.38</v>
      </c>
      <c r="E392" s="22">
        <f t="shared" si="13"/>
        <v>68529.38</v>
      </c>
      <c r="F392" s="22">
        <f t="shared" si="13"/>
        <v>68529.38</v>
      </c>
      <c r="G392" s="22">
        <f t="shared" si="13"/>
        <v>68529.38</v>
      </c>
      <c r="H392" s="22">
        <f t="shared" si="13"/>
        <v>68529.38</v>
      </c>
      <c r="I392" s="22">
        <f t="shared" si="13"/>
        <v>68529.38</v>
      </c>
      <c r="J392" s="22">
        <f t="shared" si="13"/>
        <v>68529.38</v>
      </c>
      <c r="K392" s="22">
        <f t="shared" si="13"/>
        <v>68529.38</v>
      </c>
      <c r="L392" s="22">
        <f t="shared" si="13"/>
        <v>68610.62999999999</v>
      </c>
      <c r="M392" s="22">
        <f t="shared" si="13"/>
        <v>68610.62999999999</v>
      </c>
      <c r="N392" s="22">
        <f t="shared" si="13"/>
        <v>68610.62999999999</v>
      </c>
      <c r="O392" s="30">
        <f t="shared" si="13"/>
        <v>68610.62999999999</v>
      </c>
      <c r="P392" s="22">
        <f>SUM(P389:P391)</f>
        <v>822927.5600000002</v>
      </c>
    </row>
    <row r="393" spans="2:3" ht="13.5" customHeight="1">
      <c r="B393" s="16"/>
      <c r="C393" s="10"/>
    </row>
    <row r="394" spans="1:3" ht="13.5" customHeight="1">
      <c r="A394" s="14">
        <f>+A388+1</f>
        <v>6</v>
      </c>
      <c r="B394" s="39"/>
      <c r="C394" s="5" t="s">
        <v>131</v>
      </c>
    </row>
    <row r="395" spans="1:16" ht="13.5" customHeight="1">
      <c r="A395" s="16"/>
      <c r="B395" s="16"/>
      <c r="C395" s="4" t="str">
        <f>C389</f>
        <v>Debt Reserve</v>
      </c>
      <c r="D395" s="48">
        <v>502.08</v>
      </c>
      <c r="E395" s="48">
        <v>502.08</v>
      </c>
      <c r="F395" s="48">
        <v>502.08</v>
      </c>
      <c r="G395" s="48">
        <v>502.08</v>
      </c>
      <c r="H395" s="48">
        <v>502.08</v>
      </c>
      <c r="I395" s="48">
        <v>502.08</v>
      </c>
      <c r="J395" s="48">
        <v>502.08</v>
      </c>
      <c r="K395" s="48">
        <v>502.08</v>
      </c>
      <c r="L395" s="48">
        <v>502.08</v>
      </c>
      <c r="M395" s="48">
        <v>502.08</v>
      </c>
      <c r="N395" s="48">
        <v>502.08</v>
      </c>
      <c r="O395" s="50">
        <v>487.5</v>
      </c>
      <c r="P395" s="21">
        <f>SUM(D395:O395)</f>
        <v>6010.38</v>
      </c>
    </row>
    <row r="396" spans="3:16" ht="13.5" customHeight="1">
      <c r="C396" s="4" t="str">
        <f>C390</f>
        <v>Treasury Fee</v>
      </c>
      <c r="D396" s="48">
        <v>250</v>
      </c>
      <c r="P396" s="21">
        <f>SUM(D396:O396)</f>
        <v>250</v>
      </c>
    </row>
    <row r="397" spans="3:16" ht="13.5" customHeight="1" thickBot="1">
      <c r="C397" s="4" t="str">
        <f>C391</f>
        <v>Intercept</v>
      </c>
      <c r="D397" s="48">
        <v>41997.92</v>
      </c>
      <c r="E397" s="48">
        <v>41997.92</v>
      </c>
      <c r="F397" s="48">
        <v>41997.92</v>
      </c>
      <c r="G397" s="48">
        <v>41997.92</v>
      </c>
      <c r="H397" s="48">
        <v>41997.92</v>
      </c>
      <c r="I397" s="48">
        <v>41997.92</v>
      </c>
      <c r="J397" s="48">
        <v>41997.92</v>
      </c>
      <c r="K397" s="48">
        <v>41997.92</v>
      </c>
      <c r="L397" s="48">
        <v>41997.92</v>
      </c>
      <c r="M397" s="48">
        <v>41997.92</v>
      </c>
      <c r="N397" s="48">
        <v>41997.92</v>
      </c>
      <c r="O397" s="50">
        <v>41997.92</v>
      </c>
      <c r="P397" s="21">
        <f>SUM(D397:O397)</f>
        <v>503975.03999999986</v>
      </c>
    </row>
    <row r="398" spans="3:16" ht="13.5" customHeight="1" thickBot="1">
      <c r="C398" s="6" t="s">
        <v>132</v>
      </c>
      <c r="D398" s="22">
        <f aca="true" t="shared" si="14" ref="D398:O398">SUM(D395:D397)</f>
        <v>42750</v>
      </c>
      <c r="E398" s="22">
        <f t="shared" si="14"/>
        <v>42500</v>
      </c>
      <c r="F398" s="22">
        <f t="shared" si="14"/>
        <v>42500</v>
      </c>
      <c r="G398" s="22">
        <f t="shared" si="14"/>
        <v>42500</v>
      </c>
      <c r="H398" s="22">
        <f t="shared" si="14"/>
        <v>42500</v>
      </c>
      <c r="I398" s="22">
        <f t="shared" si="14"/>
        <v>42500</v>
      </c>
      <c r="J398" s="22">
        <f t="shared" si="14"/>
        <v>42500</v>
      </c>
      <c r="K398" s="22">
        <f t="shared" si="14"/>
        <v>42500</v>
      </c>
      <c r="L398" s="22">
        <f t="shared" si="14"/>
        <v>42500</v>
      </c>
      <c r="M398" s="22">
        <f t="shared" si="14"/>
        <v>42500</v>
      </c>
      <c r="N398" s="22">
        <f t="shared" si="14"/>
        <v>42500</v>
      </c>
      <c r="O398" s="30">
        <f t="shared" si="14"/>
        <v>42485.42</v>
      </c>
      <c r="P398" s="22">
        <f>SUM(P395:P397)</f>
        <v>510235.41999999987</v>
      </c>
    </row>
    <row r="399" ht="13.5" customHeight="1">
      <c r="C399" s="10"/>
    </row>
    <row r="400" spans="1:3" ht="13.5" customHeight="1">
      <c r="A400" s="14"/>
      <c r="B400" s="35" t="s">
        <v>104</v>
      </c>
      <c r="C400" s="25" t="s">
        <v>134</v>
      </c>
    </row>
    <row r="401" spans="1:3" ht="13.5" customHeight="1">
      <c r="A401" s="16"/>
      <c r="B401" s="16"/>
      <c r="C401" s="4" t="str">
        <f>C395</f>
        <v>Debt Reserve</v>
      </c>
    </row>
    <row r="402" ht="13.5" customHeight="1">
      <c r="C402" s="4" t="str">
        <f>C396</f>
        <v>Treasury Fee</v>
      </c>
    </row>
    <row r="403" ht="13.5" customHeight="1" thickBot="1">
      <c r="C403" s="4" t="str">
        <f>C397</f>
        <v>Intercept</v>
      </c>
    </row>
    <row r="404" ht="13.5" customHeight="1" thickBot="1">
      <c r="C404" s="6" t="s">
        <v>135</v>
      </c>
    </row>
    <row r="405" ht="13.5" customHeight="1">
      <c r="C405" s="10"/>
    </row>
    <row r="406" spans="1:3" ht="13.5" customHeight="1">
      <c r="A406" s="14"/>
      <c r="B406" s="35" t="s">
        <v>104</v>
      </c>
      <c r="C406" s="25" t="s">
        <v>138</v>
      </c>
    </row>
    <row r="407" spans="1:3" ht="13.5" customHeight="1">
      <c r="A407" s="16"/>
      <c r="B407" s="16"/>
      <c r="C407" s="4" t="str">
        <f>C401</f>
        <v>Debt Reserve</v>
      </c>
    </row>
    <row r="408" ht="13.5" customHeight="1">
      <c r="C408" s="4" t="str">
        <f>C402</f>
        <v>Treasury Fee</v>
      </c>
    </row>
    <row r="409" ht="13.5" customHeight="1" thickBot="1">
      <c r="C409" s="4" t="str">
        <f>C403</f>
        <v>Intercept</v>
      </c>
    </row>
    <row r="410" ht="13.5" customHeight="1" thickBot="1">
      <c r="C410" s="6" t="s">
        <v>137</v>
      </c>
    </row>
    <row r="411" ht="13.5" customHeight="1">
      <c r="C411" s="10"/>
    </row>
    <row r="412" spans="1:3" ht="13.5" customHeight="1">
      <c r="A412" s="14"/>
      <c r="B412" s="37" t="s">
        <v>104</v>
      </c>
      <c r="C412" s="25" t="s">
        <v>139</v>
      </c>
    </row>
    <row r="413" spans="1:3" ht="13.5" customHeight="1">
      <c r="A413" s="16"/>
      <c r="B413" s="16"/>
      <c r="C413" s="4" t="str">
        <f>C407</f>
        <v>Debt Reserve</v>
      </c>
    </row>
    <row r="414" ht="13.5" customHeight="1">
      <c r="C414" s="4" t="str">
        <f>C408</f>
        <v>Treasury Fee</v>
      </c>
    </row>
    <row r="415" ht="13.5" customHeight="1" thickBot="1">
      <c r="C415" s="4" t="str">
        <f>C409</f>
        <v>Intercept</v>
      </c>
    </row>
    <row r="416" ht="13.5" customHeight="1" thickBot="1">
      <c r="C416" s="6" t="s">
        <v>140</v>
      </c>
    </row>
    <row r="417" ht="13.5" customHeight="1">
      <c r="C417" s="10"/>
    </row>
    <row r="418" spans="1:3" ht="13.5" customHeight="1">
      <c r="A418" s="14"/>
      <c r="B418" s="37" t="s">
        <v>104</v>
      </c>
      <c r="C418" s="25" t="s">
        <v>141</v>
      </c>
    </row>
    <row r="419" spans="1:3" ht="13.5" customHeight="1">
      <c r="A419" s="16"/>
      <c r="B419" s="16"/>
      <c r="C419" s="4" t="str">
        <f>C413</f>
        <v>Debt Reserve</v>
      </c>
    </row>
    <row r="420" ht="13.5" customHeight="1">
      <c r="C420" s="4" t="str">
        <f>C414</f>
        <v>Treasury Fee</v>
      </c>
    </row>
    <row r="421" ht="13.5" customHeight="1" thickBot="1">
      <c r="C421" s="4" t="str">
        <f>C415</f>
        <v>Intercept</v>
      </c>
    </row>
    <row r="422" ht="13.5" customHeight="1" thickBot="1">
      <c r="C422" s="6" t="s">
        <v>142</v>
      </c>
    </row>
    <row r="423" ht="13.5" customHeight="1">
      <c r="C423" s="10"/>
    </row>
    <row r="424" spans="1:3" ht="13.5" customHeight="1">
      <c r="A424" s="14"/>
      <c r="B424" s="37" t="s">
        <v>104</v>
      </c>
      <c r="C424" s="25" t="s">
        <v>143</v>
      </c>
    </row>
    <row r="425" spans="1:3" ht="13.5" customHeight="1">
      <c r="A425" s="16"/>
      <c r="B425" s="16"/>
      <c r="C425" s="4" t="str">
        <f>C419</f>
        <v>Debt Reserve</v>
      </c>
    </row>
    <row r="426" ht="13.5" customHeight="1">
      <c r="C426" s="4" t="str">
        <f>C420</f>
        <v>Treasury Fee</v>
      </c>
    </row>
    <row r="427" ht="13.5" customHeight="1" thickBot="1">
      <c r="C427" s="4" t="str">
        <f>C421</f>
        <v>Intercept</v>
      </c>
    </row>
    <row r="428" ht="13.5" customHeight="1" thickBot="1">
      <c r="C428" s="6" t="s">
        <v>144</v>
      </c>
    </row>
    <row r="429" ht="13.5" customHeight="1">
      <c r="C429" s="10"/>
    </row>
    <row r="430" spans="1:3" ht="13.5" customHeight="1">
      <c r="A430" s="14">
        <f>+A394+1</f>
        <v>7</v>
      </c>
      <c r="B430" s="39"/>
      <c r="C430" s="5" t="s">
        <v>145</v>
      </c>
    </row>
    <row r="431" spans="1:16" ht="13.5" customHeight="1">
      <c r="A431" s="16"/>
      <c r="B431" s="16"/>
      <c r="C431" s="4" t="str">
        <f>C425</f>
        <v>Debt Reserve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9">
        <v>0</v>
      </c>
      <c r="P431" s="21">
        <f>SUM(D431:O431)</f>
        <v>0</v>
      </c>
    </row>
    <row r="432" spans="3:16" ht="13.5" customHeight="1">
      <c r="C432" s="4" t="str">
        <f>C426</f>
        <v>Treasury Fee</v>
      </c>
      <c r="D432" s="48">
        <v>250</v>
      </c>
      <c r="P432" s="21">
        <f>SUM(D432:O432)</f>
        <v>250</v>
      </c>
    </row>
    <row r="433" spans="3:16" ht="13.5" customHeight="1" thickBot="1">
      <c r="C433" s="4" t="str">
        <f>C427</f>
        <v>Intercept</v>
      </c>
      <c r="D433" s="48">
        <f>12083.33+47125</f>
        <v>59208.33</v>
      </c>
      <c r="E433" s="48">
        <f>12083.33+47125</f>
        <v>59208.33</v>
      </c>
      <c r="F433" s="48">
        <f>12083.33+47125</f>
        <v>59208.33</v>
      </c>
      <c r="G433" s="48">
        <f>12083.33+47125</f>
        <v>59208.33</v>
      </c>
      <c r="H433" s="48">
        <f>12083.33+47125</f>
        <v>59208.33</v>
      </c>
      <c r="I433" s="48">
        <f>12916.67+46218.75</f>
        <v>59135.42</v>
      </c>
      <c r="J433" s="48">
        <f aca="true" t="shared" si="15" ref="J433:O433">12916.67+46218.75</f>
        <v>59135.42</v>
      </c>
      <c r="K433" s="48">
        <f t="shared" si="15"/>
        <v>59135.42</v>
      </c>
      <c r="L433" s="48">
        <f t="shared" si="15"/>
        <v>59135.42</v>
      </c>
      <c r="M433" s="48">
        <f t="shared" si="15"/>
        <v>59135.42</v>
      </c>
      <c r="N433" s="48">
        <f t="shared" si="15"/>
        <v>59135.42</v>
      </c>
      <c r="O433" s="50">
        <f t="shared" si="15"/>
        <v>59135.42</v>
      </c>
      <c r="P433" s="21">
        <f>SUM(D433:O433)</f>
        <v>709989.5900000001</v>
      </c>
    </row>
    <row r="434" spans="3:16" ht="13.5" customHeight="1" thickBot="1">
      <c r="C434" s="6" t="s">
        <v>146</v>
      </c>
      <c r="D434" s="22">
        <f aca="true" t="shared" si="16" ref="D434:O434">SUM(D431:D433)</f>
        <v>59458.33</v>
      </c>
      <c r="E434" s="22">
        <f t="shared" si="16"/>
        <v>59208.33</v>
      </c>
      <c r="F434" s="22">
        <f t="shared" si="16"/>
        <v>59208.33</v>
      </c>
      <c r="G434" s="22">
        <f t="shared" si="16"/>
        <v>59208.33</v>
      </c>
      <c r="H434" s="22">
        <f t="shared" si="16"/>
        <v>59208.33</v>
      </c>
      <c r="I434" s="22">
        <f t="shared" si="16"/>
        <v>59135.42</v>
      </c>
      <c r="J434" s="22">
        <f t="shared" si="16"/>
        <v>59135.42</v>
      </c>
      <c r="K434" s="22">
        <f t="shared" si="16"/>
        <v>59135.42</v>
      </c>
      <c r="L434" s="22">
        <f t="shared" si="16"/>
        <v>59135.42</v>
      </c>
      <c r="M434" s="22">
        <f t="shared" si="16"/>
        <v>59135.42</v>
      </c>
      <c r="N434" s="22">
        <f t="shared" si="16"/>
        <v>59135.42</v>
      </c>
      <c r="O434" s="30">
        <f t="shared" si="16"/>
        <v>59135.42</v>
      </c>
      <c r="P434" s="22">
        <f>SUM(P431:P433)</f>
        <v>710239.5900000001</v>
      </c>
    </row>
    <row r="435" ht="13.5" customHeight="1">
      <c r="C435" s="10"/>
    </row>
    <row r="436" spans="1:3" ht="13.5" customHeight="1">
      <c r="A436" s="14"/>
      <c r="B436" s="37" t="s">
        <v>104</v>
      </c>
      <c r="C436" s="25" t="s">
        <v>147</v>
      </c>
    </row>
    <row r="437" spans="1:16" ht="13.5" customHeight="1">
      <c r="A437" s="16"/>
      <c r="B437" s="16"/>
      <c r="C437" s="4" t="str">
        <f>C431</f>
        <v>Debt Reserve</v>
      </c>
      <c r="D437" s="48">
        <v>142.08</v>
      </c>
      <c r="E437" s="48">
        <v>142.08</v>
      </c>
      <c r="F437" s="48">
        <v>142.08</v>
      </c>
      <c r="G437" s="48">
        <v>142.08</v>
      </c>
      <c r="H437" s="48">
        <v>142.08</v>
      </c>
      <c r="I437" s="48">
        <v>138.75</v>
      </c>
      <c r="J437" s="48">
        <v>138.75</v>
      </c>
      <c r="K437" s="48">
        <v>138.75</v>
      </c>
      <c r="L437" s="48"/>
      <c r="M437" s="48"/>
      <c r="N437" s="48"/>
      <c r="O437" s="50"/>
      <c r="P437" s="21">
        <f>SUM(D437:O437)</f>
        <v>1126.65</v>
      </c>
    </row>
    <row r="438" spans="3:16" ht="13.5" customHeight="1">
      <c r="C438" s="4" t="str">
        <f>C432</f>
        <v>Treasury Fee</v>
      </c>
      <c r="D438" s="48">
        <v>250</v>
      </c>
      <c r="P438" s="21">
        <f>SUM(D438:O438)</f>
        <v>250</v>
      </c>
    </row>
    <row r="439" spans="3:16" ht="13.5" customHeight="1" thickBot="1">
      <c r="C439" s="4" t="str">
        <f>C433</f>
        <v>Intercept</v>
      </c>
      <c r="D439" s="48">
        <v>11136.22</v>
      </c>
      <c r="E439" s="48">
        <v>10810.04</v>
      </c>
      <c r="F439" s="48">
        <v>10810.04</v>
      </c>
      <c r="G439" s="48">
        <v>10810.04</v>
      </c>
      <c r="H439" s="48">
        <f>3750+8949.38</f>
        <v>12699.38</v>
      </c>
      <c r="I439" s="48">
        <f>10383.77+9000</f>
        <v>19383.77</v>
      </c>
      <c r="J439" s="48">
        <f>8052.22+8075.16</f>
        <v>16127.380000000001</v>
      </c>
      <c r="K439" s="49">
        <f>8052.22+8075.16</f>
        <v>16127.380000000001</v>
      </c>
      <c r="L439" s="48"/>
      <c r="M439" s="48"/>
      <c r="N439" s="48"/>
      <c r="O439" s="50"/>
      <c r="P439" s="21">
        <f>SUM(D439:O439)</f>
        <v>107904.25000000001</v>
      </c>
    </row>
    <row r="440" spans="3:16" ht="13.5" customHeight="1" thickBot="1">
      <c r="C440" s="6" t="s">
        <v>108</v>
      </c>
      <c r="D440" s="22">
        <f aca="true" t="shared" si="17" ref="D440:O440">SUM(D437:D439)</f>
        <v>11528.3</v>
      </c>
      <c r="E440" s="22">
        <f t="shared" si="17"/>
        <v>10952.12</v>
      </c>
      <c r="F440" s="22">
        <f t="shared" si="17"/>
        <v>10952.12</v>
      </c>
      <c r="G440" s="22">
        <f t="shared" si="17"/>
        <v>10952.12</v>
      </c>
      <c r="H440" s="22">
        <f t="shared" si="17"/>
        <v>12841.46</v>
      </c>
      <c r="I440" s="22">
        <f t="shared" si="17"/>
        <v>19522.52</v>
      </c>
      <c r="J440" s="22">
        <f t="shared" si="17"/>
        <v>16266.130000000001</v>
      </c>
      <c r="K440" s="22">
        <f t="shared" si="17"/>
        <v>16266.130000000001</v>
      </c>
      <c r="L440" s="22">
        <f t="shared" si="17"/>
        <v>0</v>
      </c>
      <c r="M440" s="22">
        <f t="shared" si="17"/>
        <v>0</v>
      </c>
      <c r="N440" s="22">
        <f t="shared" si="17"/>
        <v>0</v>
      </c>
      <c r="O440" s="30">
        <f t="shared" si="17"/>
        <v>0</v>
      </c>
      <c r="P440" s="22">
        <f>SUM(P437:P439)</f>
        <v>109280.90000000001</v>
      </c>
    </row>
    <row r="441" ht="13.5" customHeight="1">
      <c r="C441" s="10"/>
    </row>
    <row r="442" spans="1:3" ht="13.5" customHeight="1">
      <c r="A442" s="14">
        <f>+A430+1</f>
        <v>8</v>
      </c>
      <c r="B442" s="39"/>
      <c r="C442" s="5" t="s">
        <v>148</v>
      </c>
    </row>
    <row r="443" spans="1:16" ht="13.5" customHeight="1">
      <c r="A443" s="16"/>
      <c r="B443" s="16"/>
      <c r="C443" s="4" t="str">
        <f>C437</f>
        <v>Debt Reserve</v>
      </c>
      <c r="D443" s="21">
        <v>209.58</v>
      </c>
      <c r="E443" s="21">
        <v>209.58</v>
      </c>
      <c r="F443" s="21">
        <v>209.58</v>
      </c>
      <c r="G443" s="21">
        <v>209.58</v>
      </c>
      <c r="H443" s="21">
        <v>209.58</v>
      </c>
      <c r="I443" s="21">
        <v>209.58</v>
      </c>
      <c r="J443" s="21">
        <v>209.58</v>
      </c>
      <c r="K443" s="21">
        <v>209.58</v>
      </c>
      <c r="L443" s="21">
        <v>209.58</v>
      </c>
      <c r="M443" s="21">
        <v>209.58</v>
      </c>
      <c r="N443" s="21">
        <v>209.58</v>
      </c>
      <c r="O443" s="29">
        <v>209.58</v>
      </c>
      <c r="P443" s="21">
        <f>SUM(D443:O443)</f>
        <v>2514.9599999999996</v>
      </c>
    </row>
    <row r="444" spans="3:16" ht="13.5" customHeight="1">
      <c r="C444" s="4" t="str">
        <f>C438</f>
        <v>Treasury Fee</v>
      </c>
      <c r="D444" s="48">
        <v>250</v>
      </c>
      <c r="P444" s="21">
        <f>SUM(D444:O444)</f>
        <v>250</v>
      </c>
    </row>
    <row r="445" spans="3:16" ht="13.5" customHeight="1" thickBot="1">
      <c r="C445" s="4" t="str">
        <f>C439</f>
        <v>Intercept</v>
      </c>
      <c r="D445" s="48">
        <f aca="true" t="shared" si="18" ref="D445:K445">5833.33+24807.81</f>
        <v>30641.14</v>
      </c>
      <c r="E445" s="48">
        <f t="shared" si="18"/>
        <v>30641.14</v>
      </c>
      <c r="F445" s="48">
        <f t="shared" si="18"/>
        <v>30641.14</v>
      </c>
      <c r="G445" s="48">
        <f t="shared" si="18"/>
        <v>30641.14</v>
      </c>
      <c r="H445" s="48">
        <f t="shared" si="18"/>
        <v>30641.14</v>
      </c>
      <c r="I445" s="48">
        <f t="shared" si="18"/>
        <v>30641.14</v>
      </c>
      <c r="J445" s="48">
        <f t="shared" si="18"/>
        <v>30641.14</v>
      </c>
      <c r="K445" s="48">
        <f t="shared" si="18"/>
        <v>30641.14</v>
      </c>
      <c r="L445" s="48">
        <f>6250+24370.31</f>
        <v>30620.31</v>
      </c>
      <c r="M445" s="48">
        <f>6250+24370.31</f>
        <v>30620.31</v>
      </c>
      <c r="N445" s="48">
        <f>6250+24370.31</f>
        <v>30620.31</v>
      </c>
      <c r="O445" s="50">
        <f>6250+24370.31</f>
        <v>30620.31</v>
      </c>
      <c r="P445" s="21">
        <f>SUM(D445:O445)</f>
        <v>367610.36000000004</v>
      </c>
    </row>
    <row r="446" spans="3:16" ht="13.5" customHeight="1" thickBot="1">
      <c r="C446" s="6" t="s">
        <v>119</v>
      </c>
      <c r="D446" s="22">
        <f aca="true" t="shared" si="19" ref="D446:O446">SUM(D443:D445)</f>
        <v>31100.72</v>
      </c>
      <c r="E446" s="22">
        <f t="shared" si="19"/>
        <v>30850.72</v>
      </c>
      <c r="F446" s="22">
        <f t="shared" si="19"/>
        <v>30850.72</v>
      </c>
      <c r="G446" s="22">
        <f t="shared" si="19"/>
        <v>30850.72</v>
      </c>
      <c r="H446" s="22">
        <f t="shared" si="19"/>
        <v>30850.72</v>
      </c>
      <c r="I446" s="22">
        <f t="shared" si="19"/>
        <v>30850.72</v>
      </c>
      <c r="J446" s="22">
        <f t="shared" si="19"/>
        <v>30850.72</v>
      </c>
      <c r="K446" s="22">
        <f t="shared" si="19"/>
        <v>30850.72</v>
      </c>
      <c r="L446" s="22">
        <f t="shared" si="19"/>
        <v>30829.890000000003</v>
      </c>
      <c r="M446" s="22">
        <f t="shared" si="19"/>
        <v>30829.890000000003</v>
      </c>
      <c r="N446" s="22">
        <f t="shared" si="19"/>
        <v>30829.890000000003</v>
      </c>
      <c r="O446" s="30">
        <f t="shared" si="19"/>
        <v>30829.890000000003</v>
      </c>
      <c r="P446" s="22">
        <f>SUM(P443:P445)</f>
        <v>370375.32000000007</v>
      </c>
    </row>
    <row r="447" ht="13.5" customHeight="1">
      <c r="C447" s="10"/>
    </row>
    <row r="448" spans="1:3" ht="13.5" customHeight="1">
      <c r="A448" s="14"/>
      <c r="B448" s="37" t="s">
        <v>104</v>
      </c>
      <c r="C448" s="25" t="s">
        <v>149</v>
      </c>
    </row>
    <row r="449" spans="1:3" ht="13.5" customHeight="1">
      <c r="A449" s="16"/>
      <c r="B449" s="16"/>
      <c r="C449" s="4" t="str">
        <f>C443</f>
        <v>Debt Reserve</v>
      </c>
    </row>
    <row r="450" ht="13.5" customHeight="1">
      <c r="C450" s="4" t="str">
        <f>C444</f>
        <v>Treasury Fee</v>
      </c>
    </row>
    <row r="451" ht="13.5" customHeight="1" thickBot="1">
      <c r="C451" s="4" t="str">
        <f>C445</f>
        <v>Intercept</v>
      </c>
    </row>
    <row r="452" ht="13.5" customHeight="1" thickBot="1">
      <c r="C452" s="6" t="s">
        <v>150</v>
      </c>
    </row>
    <row r="453" ht="13.5" customHeight="1">
      <c r="C453" s="10"/>
    </row>
    <row r="454" spans="1:3" ht="13.5" customHeight="1">
      <c r="A454" s="14"/>
      <c r="B454" s="37" t="s">
        <v>104</v>
      </c>
      <c r="C454" s="25" t="s">
        <v>151</v>
      </c>
    </row>
    <row r="455" spans="1:3" ht="13.5" customHeight="1">
      <c r="A455" s="16"/>
      <c r="B455" s="16"/>
      <c r="C455" s="4" t="str">
        <f>C449</f>
        <v>Debt Reserve</v>
      </c>
    </row>
    <row r="456" ht="13.5" customHeight="1">
      <c r="C456" s="4" t="str">
        <f>C450</f>
        <v>Treasury Fee</v>
      </c>
    </row>
    <row r="457" ht="13.5" customHeight="1" thickBot="1">
      <c r="C457" s="4" t="str">
        <f>C451</f>
        <v>Intercept</v>
      </c>
    </row>
    <row r="458" ht="13.5" customHeight="1" thickBot="1">
      <c r="C458" s="6" t="s">
        <v>74</v>
      </c>
    </row>
    <row r="459" ht="13.5" customHeight="1">
      <c r="C459" s="10"/>
    </row>
    <row r="460" spans="1:3" ht="13.5" customHeight="1">
      <c r="A460" s="34">
        <f>+A442+1</f>
        <v>9</v>
      </c>
      <c r="B460" s="39"/>
      <c r="C460" s="5" t="s">
        <v>152</v>
      </c>
    </row>
    <row r="461" spans="1:16" ht="13.5" customHeight="1">
      <c r="A461" s="16"/>
      <c r="B461" s="16"/>
      <c r="C461" s="4" t="str">
        <f>C455</f>
        <v>Debt Reserve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9">
        <v>0</v>
      </c>
      <c r="P461" s="21">
        <f>SUM(D461:O461)</f>
        <v>0</v>
      </c>
    </row>
    <row r="462" spans="3:16" ht="13.5" customHeight="1">
      <c r="C462" s="4" t="str">
        <f>C456</f>
        <v>Treasury Fee</v>
      </c>
      <c r="D462" s="48">
        <v>250</v>
      </c>
      <c r="P462" s="21">
        <f>SUM(D462:O462)</f>
        <v>250</v>
      </c>
    </row>
    <row r="463" spans="3:16" ht="13.5" customHeight="1" thickBot="1">
      <c r="C463" s="4" t="str">
        <f>C457</f>
        <v>Intercept</v>
      </c>
      <c r="D463" s="48">
        <f aca="true" t="shared" si="20" ref="D463:K463">13750+8990.63</f>
        <v>22740.629999999997</v>
      </c>
      <c r="E463" s="48">
        <f t="shared" si="20"/>
        <v>22740.629999999997</v>
      </c>
      <c r="F463" s="48">
        <f t="shared" si="20"/>
        <v>22740.629999999997</v>
      </c>
      <c r="G463" s="48">
        <f t="shared" si="20"/>
        <v>22740.629999999997</v>
      </c>
      <c r="H463" s="48">
        <f t="shared" si="20"/>
        <v>22740.629999999997</v>
      </c>
      <c r="I463" s="48">
        <f t="shared" si="20"/>
        <v>22740.629999999997</v>
      </c>
      <c r="J463" s="48">
        <f t="shared" si="20"/>
        <v>22740.629999999997</v>
      </c>
      <c r="K463" s="48">
        <f t="shared" si="20"/>
        <v>22740.629999999997</v>
      </c>
      <c r="L463" s="48">
        <f>14583.33+8440.63</f>
        <v>23023.96</v>
      </c>
      <c r="M463" s="48">
        <f>14583.33+8440.63</f>
        <v>23023.96</v>
      </c>
      <c r="N463" s="48">
        <f>14583.33+8440.63</f>
        <v>23023.96</v>
      </c>
      <c r="O463" s="50">
        <f>14583.33+8440.63</f>
        <v>23023.96</v>
      </c>
      <c r="P463" s="21">
        <f>SUM(D463:O463)</f>
        <v>274020.88</v>
      </c>
    </row>
    <row r="464" spans="3:16" ht="13.5" customHeight="1" thickBot="1">
      <c r="C464" s="6" t="s">
        <v>153</v>
      </c>
      <c r="D464" s="22">
        <f aca="true" t="shared" si="21" ref="D464:O464">SUM(D461:D463)</f>
        <v>22990.629999999997</v>
      </c>
      <c r="E464" s="22">
        <f t="shared" si="21"/>
        <v>22740.629999999997</v>
      </c>
      <c r="F464" s="22">
        <f t="shared" si="21"/>
        <v>22740.629999999997</v>
      </c>
      <c r="G464" s="22">
        <f t="shared" si="21"/>
        <v>22740.629999999997</v>
      </c>
      <c r="H464" s="22">
        <f t="shared" si="21"/>
        <v>22740.629999999997</v>
      </c>
      <c r="I464" s="22">
        <f t="shared" si="21"/>
        <v>22740.629999999997</v>
      </c>
      <c r="J464" s="22">
        <f t="shared" si="21"/>
        <v>22740.629999999997</v>
      </c>
      <c r="K464" s="22">
        <f t="shared" si="21"/>
        <v>22740.629999999997</v>
      </c>
      <c r="L464" s="22">
        <f t="shared" si="21"/>
        <v>23023.96</v>
      </c>
      <c r="M464" s="22">
        <f t="shared" si="21"/>
        <v>23023.96</v>
      </c>
      <c r="N464" s="22">
        <f t="shared" si="21"/>
        <v>23023.96</v>
      </c>
      <c r="O464" s="30">
        <f t="shared" si="21"/>
        <v>23023.96</v>
      </c>
      <c r="P464" s="22">
        <f>SUM(P461:P463)</f>
        <v>274270.88</v>
      </c>
    </row>
    <row r="465" ht="13.5" customHeight="1">
      <c r="C465" s="10"/>
    </row>
    <row r="466" spans="1:3" ht="13.5" customHeight="1">
      <c r="A466" s="14"/>
      <c r="B466" s="37" t="s">
        <v>104</v>
      </c>
      <c r="C466" s="25" t="s">
        <v>154</v>
      </c>
    </row>
    <row r="467" spans="1:3" ht="13.5" customHeight="1">
      <c r="A467" s="16"/>
      <c r="B467" s="16"/>
      <c r="C467" s="4" t="str">
        <f>C461</f>
        <v>Debt Reserve</v>
      </c>
    </row>
    <row r="468" ht="13.5" customHeight="1">
      <c r="C468" s="4" t="str">
        <f>C462</f>
        <v>Treasury Fee</v>
      </c>
    </row>
    <row r="469" ht="13.5" customHeight="1" thickBot="1">
      <c r="C469" s="4" t="str">
        <f>C463</f>
        <v>Intercept</v>
      </c>
    </row>
    <row r="470" ht="13.5" customHeight="1" thickBot="1">
      <c r="C470" s="6" t="s">
        <v>155</v>
      </c>
    </row>
    <row r="471" ht="13.5" customHeight="1">
      <c r="C471" s="10"/>
    </row>
    <row r="472" spans="1:3" ht="13.5" customHeight="1">
      <c r="A472" s="14"/>
      <c r="B472" s="37" t="s">
        <v>104</v>
      </c>
      <c r="C472" s="25" t="s">
        <v>179</v>
      </c>
    </row>
    <row r="473" spans="1:3" ht="13.5" customHeight="1">
      <c r="A473" s="16"/>
      <c r="B473" s="16"/>
      <c r="C473" s="4" t="str">
        <f>C467</f>
        <v>Debt Reserve</v>
      </c>
    </row>
    <row r="474" ht="13.5" customHeight="1">
      <c r="C474" s="4" t="str">
        <f>C468</f>
        <v>Treasury Fee</v>
      </c>
    </row>
    <row r="475" ht="13.5" customHeight="1" thickBot="1">
      <c r="C475" s="4" t="str">
        <f>C469</f>
        <v>Intercept</v>
      </c>
    </row>
    <row r="476" ht="13.5" customHeight="1" thickBot="1">
      <c r="C476" s="6" t="s">
        <v>158</v>
      </c>
    </row>
    <row r="477" ht="13.5" customHeight="1">
      <c r="C477" s="10"/>
    </row>
    <row r="478" spans="1:3" ht="13.5" customHeight="1">
      <c r="A478" s="14"/>
      <c r="B478" s="37" t="s">
        <v>104</v>
      </c>
      <c r="C478" s="25" t="s">
        <v>159</v>
      </c>
    </row>
    <row r="479" spans="1:3" ht="13.5" customHeight="1">
      <c r="A479" s="16"/>
      <c r="B479" s="16"/>
      <c r="C479" s="4" t="str">
        <f>C473</f>
        <v>Debt Reserve</v>
      </c>
    </row>
    <row r="480" ht="13.5" customHeight="1">
      <c r="C480" s="4" t="str">
        <f>C474</f>
        <v>Treasury Fee</v>
      </c>
    </row>
    <row r="481" ht="13.5" customHeight="1" thickBot="1">
      <c r="C481" s="4" t="str">
        <f>C475</f>
        <v>Intercept</v>
      </c>
    </row>
    <row r="482" ht="13.5" customHeight="1" thickBot="1">
      <c r="C482" s="6" t="s">
        <v>160</v>
      </c>
    </row>
    <row r="483" ht="13.5" customHeight="1">
      <c r="C483" s="10"/>
    </row>
    <row r="484" spans="1:3" ht="13.5" customHeight="1">
      <c r="A484" s="14"/>
      <c r="B484" s="37" t="s">
        <v>104</v>
      </c>
      <c r="C484" s="25" t="s">
        <v>161</v>
      </c>
    </row>
    <row r="485" spans="1:3" ht="13.5" customHeight="1">
      <c r="A485" s="16"/>
      <c r="B485" s="16"/>
      <c r="C485" s="4" t="str">
        <f>C479</f>
        <v>Debt Reserve</v>
      </c>
    </row>
    <row r="486" ht="13.5" customHeight="1">
      <c r="C486" s="4" t="str">
        <f>C480</f>
        <v>Treasury Fee</v>
      </c>
    </row>
    <row r="487" ht="13.5" customHeight="1" thickBot="1">
      <c r="C487" s="4" t="str">
        <f>C481</f>
        <v>Intercept</v>
      </c>
    </row>
    <row r="488" ht="13.5" customHeight="1" thickBot="1">
      <c r="C488" s="6" t="s">
        <v>162</v>
      </c>
    </row>
    <row r="489" ht="13.5" customHeight="1">
      <c r="C489" s="10"/>
    </row>
    <row r="490" spans="1:3" ht="13.5" customHeight="1">
      <c r="A490" s="14">
        <f>+A460+1</f>
        <v>10</v>
      </c>
      <c r="B490" s="39"/>
      <c r="C490" s="5" t="s">
        <v>163</v>
      </c>
    </row>
    <row r="491" spans="1:16" ht="13.5" customHeight="1">
      <c r="A491" s="16"/>
      <c r="B491" s="16"/>
      <c r="C491" s="4" t="str">
        <f>C485</f>
        <v>Debt Reserve</v>
      </c>
      <c r="D491" s="48">
        <v>617.5</v>
      </c>
      <c r="E491" s="48">
        <v>617.5</v>
      </c>
      <c r="F491" s="48">
        <v>617.5</v>
      </c>
      <c r="G491" s="48">
        <v>617.5</v>
      </c>
      <c r="H491" s="48">
        <v>617.5</v>
      </c>
      <c r="I491" s="48">
        <v>617.5</v>
      </c>
      <c r="J491" s="48">
        <v>617.5</v>
      </c>
      <c r="K491" s="48">
        <v>617.5</v>
      </c>
      <c r="L491" s="48">
        <v>617.5</v>
      </c>
      <c r="M491" s="48">
        <v>617.5</v>
      </c>
      <c r="N491" s="48">
        <v>617.5</v>
      </c>
      <c r="O491" s="50">
        <v>617.5</v>
      </c>
      <c r="P491" s="21">
        <f>SUM(D491:O491)</f>
        <v>7410</v>
      </c>
    </row>
    <row r="492" spans="3:16" ht="13.5" customHeight="1">
      <c r="C492" s="4" t="str">
        <f>C486</f>
        <v>Treasury Fee</v>
      </c>
      <c r="D492" s="48">
        <v>250</v>
      </c>
      <c r="P492" s="21">
        <f>SUM(D492:O492)</f>
        <v>250</v>
      </c>
    </row>
    <row r="493" spans="3:16" ht="13.5" customHeight="1" thickBot="1">
      <c r="C493" s="4" t="str">
        <f>C487</f>
        <v>Intercept</v>
      </c>
      <c r="D493" s="48">
        <f aca="true" t="shared" si="22" ref="D493:I493">25000+28518.75</f>
        <v>53518.75</v>
      </c>
      <c r="E493" s="48">
        <f t="shared" si="22"/>
        <v>53518.75</v>
      </c>
      <c r="F493" s="48">
        <f t="shared" si="22"/>
        <v>53518.75</v>
      </c>
      <c r="G493" s="48">
        <f t="shared" si="22"/>
        <v>53518.75</v>
      </c>
      <c r="H493" s="48">
        <f t="shared" si="22"/>
        <v>53518.75</v>
      </c>
      <c r="I493" s="48">
        <f t="shared" si="22"/>
        <v>53518.75</v>
      </c>
      <c r="J493" s="48">
        <f aca="true" t="shared" si="23" ref="J493:O493">25000+28112.5</f>
        <v>53112.5</v>
      </c>
      <c r="K493" s="48">
        <f t="shared" si="23"/>
        <v>53112.5</v>
      </c>
      <c r="L493" s="48">
        <f t="shared" si="23"/>
        <v>53112.5</v>
      </c>
      <c r="M493" s="48">
        <f t="shared" si="23"/>
        <v>53112.5</v>
      </c>
      <c r="N493" s="48">
        <f t="shared" si="23"/>
        <v>53112.5</v>
      </c>
      <c r="O493" s="50">
        <f t="shared" si="23"/>
        <v>53112.5</v>
      </c>
      <c r="P493" s="21">
        <f>SUM(D493:O493)</f>
        <v>639787.5</v>
      </c>
    </row>
    <row r="494" spans="3:16" ht="13.5" customHeight="1" thickBot="1">
      <c r="C494" s="6" t="s">
        <v>164</v>
      </c>
      <c r="D494" s="22">
        <f aca="true" t="shared" si="24" ref="D494:O494">SUM(D491:D493)</f>
        <v>54386.25</v>
      </c>
      <c r="E494" s="22">
        <f t="shared" si="24"/>
        <v>54136.25</v>
      </c>
      <c r="F494" s="22">
        <f t="shared" si="24"/>
        <v>54136.25</v>
      </c>
      <c r="G494" s="22">
        <f t="shared" si="24"/>
        <v>54136.25</v>
      </c>
      <c r="H494" s="22">
        <f t="shared" si="24"/>
        <v>54136.25</v>
      </c>
      <c r="I494" s="22">
        <f t="shared" si="24"/>
        <v>54136.25</v>
      </c>
      <c r="J494" s="22">
        <f t="shared" si="24"/>
        <v>53730</v>
      </c>
      <c r="K494" s="22">
        <f t="shared" si="24"/>
        <v>53730</v>
      </c>
      <c r="L494" s="22">
        <f t="shared" si="24"/>
        <v>53730</v>
      </c>
      <c r="M494" s="22">
        <f t="shared" si="24"/>
        <v>53730</v>
      </c>
      <c r="N494" s="22">
        <f t="shared" si="24"/>
        <v>53730</v>
      </c>
      <c r="O494" s="30">
        <f t="shared" si="24"/>
        <v>53730</v>
      </c>
      <c r="P494" s="22">
        <f>SUM(P491:P493)</f>
        <v>647447.5</v>
      </c>
    </row>
    <row r="495" ht="13.5" customHeight="1">
      <c r="C495" s="10"/>
    </row>
    <row r="496" spans="1:3" ht="13.5" customHeight="1">
      <c r="A496" s="14">
        <f>+A490+1</f>
        <v>11</v>
      </c>
      <c r="B496" s="39"/>
      <c r="C496" s="5" t="s">
        <v>165</v>
      </c>
    </row>
    <row r="497" spans="1:16" ht="13.5" customHeight="1">
      <c r="A497" s="16"/>
      <c r="B497" s="16"/>
      <c r="C497" s="4" t="str">
        <f>C491</f>
        <v>Debt Reserve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9">
        <v>0</v>
      </c>
      <c r="P497" s="21">
        <f>SUM(D497:O497)</f>
        <v>0</v>
      </c>
    </row>
    <row r="498" spans="3:16" ht="13.5" customHeight="1">
      <c r="C498" s="4" t="str">
        <f>C492</f>
        <v>Treasury Fee</v>
      </c>
      <c r="D498" s="48">
        <v>250</v>
      </c>
      <c r="P498" s="21">
        <f>SUM(D498:O498)</f>
        <v>250</v>
      </c>
    </row>
    <row r="499" spans="3:16" ht="13.5" customHeight="1" thickBot="1">
      <c r="C499" s="4" t="str">
        <f>C493</f>
        <v>Intercept</v>
      </c>
      <c r="D499" s="48">
        <f>10000+38908.33</f>
        <v>48908.33</v>
      </c>
      <c r="E499" s="48">
        <f>10000+38908.33</f>
        <v>48908.33</v>
      </c>
      <c r="F499" s="48">
        <f>10000+38908.35</f>
        <v>48908.35</v>
      </c>
      <c r="G499" s="48">
        <f>10833.33+38208.33</f>
        <v>49041.66</v>
      </c>
      <c r="H499" s="48">
        <f aca="true" t="shared" si="25" ref="H499:O499">10833.33+38208.33</f>
        <v>49041.66</v>
      </c>
      <c r="I499" s="48">
        <f t="shared" si="25"/>
        <v>49041.66</v>
      </c>
      <c r="J499" s="48">
        <f t="shared" si="25"/>
        <v>49041.66</v>
      </c>
      <c r="K499" s="48">
        <f t="shared" si="25"/>
        <v>49041.66</v>
      </c>
      <c r="L499" s="48">
        <f>10833.33+38208.35</f>
        <v>49041.68</v>
      </c>
      <c r="M499" s="48">
        <f t="shared" si="25"/>
        <v>49041.66</v>
      </c>
      <c r="N499" s="48">
        <f t="shared" si="25"/>
        <v>49041.66</v>
      </c>
      <c r="O499" s="50">
        <f t="shared" si="25"/>
        <v>49041.66</v>
      </c>
      <c r="P499" s="21">
        <f>SUM(D499:O499)</f>
        <v>588099.9700000001</v>
      </c>
    </row>
    <row r="500" spans="3:16" ht="13.5" customHeight="1" thickBot="1">
      <c r="C500" s="6" t="s">
        <v>166</v>
      </c>
      <c r="D500" s="22">
        <f aca="true" t="shared" si="26" ref="D500:O500">SUM(D497:D499)</f>
        <v>49158.33</v>
      </c>
      <c r="E500" s="22">
        <f t="shared" si="26"/>
        <v>48908.33</v>
      </c>
      <c r="F500" s="22">
        <f t="shared" si="26"/>
        <v>48908.35</v>
      </c>
      <c r="G500" s="22">
        <f t="shared" si="26"/>
        <v>49041.66</v>
      </c>
      <c r="H500" s="22">
        <f t="shared" si="26"/>
        <v>49041.66</v>
      </c>
      <c r="I500" s="22">
        <f t="shared" si="26"/>
        <v>49041.66</v>
      </c>
      <c r="J500" s="22">
        <f t="shared" si="26"/>
        <v>49041.66</v>
      </c>
      <c r="K500" s="22">
        <f t="shared" si="26"/>
        <v>49041.66</v>
      </c>
      <c r="L500" s="22">
        <f t="shared" si="26"/>
        <v>49041.68</v>
      </c>
      <c r="M500" s="22">
        <f t="shared" si="26"/>
        <v>49041.66</v>
      </c>
      <c r="N500" s="22">
        <f t="shared" si="26"/>
        <v>49041.66</v>
      </c>
      <c r="O500" s="30">
        <f t="shared" si="26"/>
        <v>49041.66</v>
      </c>
      <c r="P500" s="22">
        <f>SUM(P497:P499)</f>
        <v>588349.9700000001</v>
      </c>
    </row>
    <row r="501" ht="13.5" customHeight="1">
      <c r="C501" s="10"/>
    </row>
    <row r="502" spans="1:3" ht="13.5" customHeight="1">
      <c r="A502" s="14"/>
      <c r="B502" s="37" t="s">
        <v>104</v>
      </c>
      <c r="C502" s="25" t="s">
        <v>167</v>
      </c>
    </row>
    <row r="503" spans="1:3" ht="13.5" customHeight="1">
      <c r="A503" s="16"/>
      <c r="B503" s="16"/>
      <c r="C503" s="4" t="str">
        <f>C497</f>
        <v>Debt Reserve</v>
      </c>
    </row>
    <row r="504" ht="13.5" customHeight="1">
      <c r="C504" s="4" t="str">
        <f>C498</f>
        <v>Treasury Fee</v>
      </c>
    </row>
    <row r="505" ht="13.5" customHeight="1" thickBot="1">
      <c r="C505" s="4" t="str">
        <f>C499</f>
        <v>Intercept</v>
      </c>
    </row>
    <row r="506" ht="13.5" customHeight="1" thickBot="1">
      <c r="C506" s="6" t="s">
        <v>168</v>
      </c>
    </row>
    <row r="507" ht="13.5" customHeight="1">
      <c r="C507" s="10"/>
    </row>
    <row r="508" spans="1:3" ht="13.5" customHeight="1">
      <c r="A508" s="14"/>
      <c r="B508" s="37" t="s">
        <v>104</v>
      </c>
      <c r="C508" s="25" t="s">
        <v>169</v>
      </c>
    </row>
    <row r="509" spans="1:3" ht="13.5" customHeight="1">
      <c r="A509" s="16"/>
      <c r="B509" s="16"/>
      <c r="C509" s="4" t="str">
        <f>C503</f>
        <v>Debt Reserve</v>
      </c>
    </row>
    <row r="510" ht="13.5" customHeight="1">
      <c r="C510" s="4" t="str">
        <f>C504</f>
        <v>Treasury Fee</v>
      </c>
    </row>
    <row r="511" ht="13.5" customHeight="1" thickBot="1">
      <c r="C511" s="4" t="str">
        <f>C505</f>
        <v>Intercept</v>
      </c>
    </row>
    <row r="512" ht="13.5" customHeight="1" thickBot="1">
      <c r="C512" s="6" t="s">
        <v>115</v>
      </c>
    </row>
    <row r="513" ht="13.5" customHeight="1">
      <c r="C513" s="10"/>
    </row>
    <row r="514" spans="1:3" ht="13.5" customHeight="1">
      <c r="A514" s="14">
        <f>A496+1</f>
        <v>12</v>
      </c>
      <c r="B514" s="39"/>
      <c r="C514" s="5" t="s">
        <v>170</v>
      </c>
    </row>
    <row r="515" spans="1:16" ht="13.5" customHeight="1">
      <c r="A515" s="16"/>
      <c r="B515" s="16"/>
      <c r="C515" s="4" t="str">
        <f>C509</f>
        <v>Debt Reserve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9">
        <v>0</v>
      </c>
      <c r="P515" s="21">
        <f>SUM(D515:O515)</f>
        <v>0</v>
      </c>
    </row>
    <row r="516" spans="3:16" ht="13.5" customHeight="1">
      <c r="C516" s="4" t="str">
        <f>C510</f>
        <v>Treasury Fee</v>
      </c>
      <c r="D516" s="48">
        <v>250</v>
      </c>
      <c r="P516" s="21">
        <f>SUM(D516:O516)</f>
        <v>250</v>
      </c>
    </row>
    <row r="517" spans="3:16" ht="13.5" customHeight="1" thickBot="1">
      <c r="C517" s="4" t="str">
        <f>C511</f>
        <v>Intercept</v>
      </c>
      <c r="D517" s="48">
        <f>12083.33+27520.83</f>
        <v>39604.16</v>
      </c>
      <c r="E517" s="48">
        <f>12083.33+27520.83</f>
        <v>39604.16</v>
      </c>
      <c r="F517" s="48">
        <f>12083.33+27520.83</f>
        <v>39604.16</v>
      </c>
      <c r="G517" s="48">
        <f>12083.37+27520.85</f>
        <v>39604.22</v>
      </c>
      <c r="H517" s="48">
        <f>12916.67+26916.67</f>
        <v>39833.34</v>
      </c>
      <c r="I517" s="48">
        <f aca="true" t="shared" si="27" ref="I517:O517">12916.67+26916.67</f>
        <v>39833.34</v>
      </c>
      <c r="J517" s="48">
        <f t="shared" si="27"/>
        <v>39833.34</v>
      </c>
      <c r="K517" s="48">
        <f t="shared" si="27"/>
        <v>39833.34</v>
      </c>
      <c r="L517" s="48">
        <f t="shared" si="27"/>
        <v>39833.34</v>
      </c>
      <c r="M517" s="48">
        <f>12916.67+26916.65</f>
        <v>39833.32</v>
      </c>
      <c r="N517" s="48">
        <f t="shared" si="27"/>
        <v>39833.34</v>
      </c>
      <c r="O517" s="50">
        <f t="shared" si="27"/>
        <v>39833.34</v>
      </c>
      <c r="P517" s="21">
        <f>SUM(D517:O517)</f>
        <v>477083.3999999999</v>
      </c>
    </row>
    <row r="518" spans="3:16" ht="13.5" customHeight="1" thickBot="1">
      <c r="C518" s="6" t="s">
        <v>171</v>
      </c>
      <c r="D518" s="22">
        <f aca="true" t="shared" si="28" ref="D518:O518">SUM(D515:D517)</f>
        <v>39854.16</v>
      </c>
      <c r="E518" s="22">
        <f t="shared" si="28"/>
        <v>39604.16</v>
      </c>
      <c r="F518" s="22">
        <f t="shared" si="28"/>
        <v>39604.16</v>
      </c>
      <c r="G518" s="22">
        <f t="shared" si="28"/>
        <v>39604.22</v>
      </c>
      <c r="H518" s="22">
        <f t="shared" si="28"/>
        <v>39833.34</v>
      </c>
      <c r="I518" s="22">
        <f t="shared" si="28"/>
        <v>39833.34</v>
      </c>
      <c r="J518" s="22">
        <f t="shared" si="28"/>
        <v>39833.34</v>
      </c>
      <c r="K518" s="22">
        <f t="shared" si="28"/>
        <v>39833.34</v>
      </c>
      <c r="L518" s="22">
        <f t="shared" si="28"/>
        <v>39833.34</v>
      </c>
      <c r="M518" s="22">
        <f t="shared" si="28"/>
        <v>39833.32</v>
      </c>
      <c r="N518" s="22">
        <f t="shared" si="28"/>
        <v>39833.34</v>
      </c>
      <c r="O518" s="30">
        <f t="shared" si="28"/>
        <v>39833.34</v>
      </c>
      <c r="P518" s="22">
        <f>SUM(P515:P517)</f>
        <v>477333.3999999999</v>
      </c>
    </row>
    <row r="519" ht="13.5" customHeight="1">
      <c r="C519" s="10"/>
    </row>
    <row r="520" spans="1:3" ht="13.5" customHeight="1">
      <c r="A520" s="14">
        <f>+A514+1</f>
        <v>13</v>
      </c>
      <c r="B520" s="39"/>
      <c r="C520" s="5" t="s">
        <v>172</v>
      </c>
    </row>
    <row r="521" spans="1:16" ht="13.5" customHeight="1">
      <c r="A521" s="16"/>
      <c r="B521" s="16"/>
      <c r="C521" s="4" t="str">
        <f>C515</f>
        <v>Debt Reserve</v>
      </c>
      <c r="D521" s="48">
        <v>1187.92</v>
      </c>
      <c r="E521" s="48">
        <v>1187.92</v>
      </c>
      <c r="F521" s="48">
        <v>1187.92</v>
      </c>
      <c r="G521" s="48">
        <v>1187.92</v>
      </c>
      <c r="H521" s="48">
        <v>1187.92</v>
      </c>
      <c r="I521" s="48">
        <v>1187.92</v>
      </c>
      <c r="J521" s="48">
        <v>1187.92</v>
      </c>
      <c r="K521" s="48">
        <v>1187.92</v>
      </c>
      <c r="L521" s="48">
        <v>1125.83</v>
      </c>
      <c r="M521" s="48">
        <v>1125.83</v>
      </c>
      <c r="N521" s="48">
        <v>1125.83</v>
      </c>
      <c r="O521" s="50">
        <v>1125.83</v>
      </c>
      <c r="P521" s="21">
        <f>SUM(D521:O521)</f>
        <v>14006.68</v>
      </c>
    </row>
    <row r="522" spans="3:16" ht="13.5" customHeight="1">
      <c r="C522" s="4" t="str">
        <f>C516</f>
        <v>Treasury Fee</v>
      </c>
      <c r="D522" s="48">
        <v>250</v>
      </c>
      <c r="P522" s="21">
        <f>SUM(D522:O522)</f>
        <v>250</v>
      </c>
    </row>
    <row r="523" spans="3:16" ht="13.5" customHeight="1" thickBot="1">
      <c r="C523" s="4" t="str">
        <f>C517</f>
        <v>Intercept</v>
      </c>
      <c r="D523" s="48">
        <f aca="true" t="shared" si="29" ref="D523:N523">64583.33+50911.46</f>
        <v>115494.79000000001</v>
      </c>
      <c r="E523" s="48">
        <f t="shared" si="29"/>
        <v>115494.79000000001</v>
      </c>
      <c r="F523" s="48">
        <f t="shared" si="29"/>
        <v>115494.79000000001</v>
      </c>
      <c r="G523" s="48">
        <f t="shared" si="29"/>
        <v>115494.79000000001</v>
      </c>
      <c r="H523" s="48">
        <f t="shared" si="29"/>
        <v>115494.79000000001</v>
      </c>
      <c r="I523" s="48">
        <f t="shared" si="29"/>
        <v>115494.79000000001</v>
      </c>
      <c r="J523" s="48">
        <f t="shared" si="29"/>
        <v>115494.79000000001</v>
      </c>
      <c r="K523" s="48">
        <f t="shared" si="29"/>
        <v>115494.79000000001</v>
      </c>
      <c r="L523" s="48">
        <f t="shared" si="29"/>
        <v>115494.79000000001</v>
      </c>
      <c r="M523" s="48">
        <f t="shared" si="29"/>
        <v>115494.79000000001</v>
      </c>
      <c r="N523" s="48">
        <f t="shared" si="29"/>
        <v>115494.79000000001</v>
      </c>
      <c r="O523" s="50">
        <f>67500+47682.29</f>
        <v>115182.29000000001</v>
      </c>
      <c r="P523" s="21">
        <f>SUM(D523:O523)</f>
        <v>1385624.9800000002</v>
      </c>
    </row>
    <row r="524" spans="3:16" ht="13.5" customHeight="1" thickBot="1">
      <c r="C524" s="6" t="s">
        <v>128</v>
      </c>
      <c r="D524" s="22">
        <f aca="true" t="shared" si="30" ref="D524:O524">SUM(D521:D523)</f>
        <v>116932.71</v>
      </c>
      <c r="E524" s="22">
        <f t="shared" si="30"/>
        <v>116682.71</v>
      </c>
      <c r="F524" s="22">
        <f t="shared" si="30"/>
        <v>116682.71</v>
      </c>
      <c r="G524" s="22">
        <f t="shared" si="30"/>
        <v>116682.71</v>
      </c>
      <c r="H524" s="22">
        <f t="shared" si="30"/>
        <v>116682.71</v>
      </c>
      <c r="I524" s="22">
        <f t="shared" si="30"/>
        <v>116682.71</v>
      </c>
      <c r="J524" s="22">
        <f t="shared" si="30"/>
        <v>116682.71</v>
      </c>
      <c r="K524" s="22">
        <f t="shared" si="30"/>
        <v>116682.71</v>
      </c>
      <c r="L524" s="22">
        <f t="shared" si="30"/>
        <v>116620.62000000001</v>
      </c>
      <c r="M524" s="22">
        <f t="shared" si="30"/>
        <v>116620.62000000001</v>
      </c>
      <c r="N524" s="22">
        <f t="shared" si="30"/>
        <v>116620.62000000001</v>
      </c>
      <c r="O524" s="30">
        <f t="shared" si="30"/>
        <v>116308.12000000001</v>
      </c>
      <c r="P524" s="22">
        <f>SUM(P521:P523)</f>
        <v>1399881.6600000001</v>
      </c>
    </row>
    <row r="525" ht="13.5" customHeight="1">
      <c r="C525" s="10"/>
    </row>
    <row r="526" spans="1:3" ht="13.5" customHeight="1">
      <c r="A526" s="14"/>
      <c r="B526" s="37" t="s">
        <v>104</v>
      </c>
      <c r="C526" s="25" t="s">
        <v>173</v>
      </c>
    </row>
    <row r="527" spans="1:16" ht="13.5" customHeight="1">
      <c r="A527" s="16"/>
      <c r="B527" s="16"/>
      <c r="C527" s="4" t="str">
        <f>C521</f>
        <v>Debt Reserve</v>
      </c>
      <c r="D527" s="48">
        <v>553.75</v>
      </c>
      <c r="E527" s="48">
        <v>553.75</v>
      </c>
      <c r="F527" s="48">
        <v>553.75</v>
      </c>
      <c r="G527" s="48">
        <v>553.75</v>
      </c>
      <c r="H527" s="48">
        <v>553.75</v>
      </c>
      <c r="I527" s="48">
        <v>553.75</v>
      </c>
      <c r="J527" s="48">
        <v>553.75</v>
      </c>
      <c r="K527" s="48">
        <v>553.75</v>
      </c>
      <c r="L527" s="48">
        <v>553.75</v>
      </c>
      <c r="M527" s="48">
        <v>539.58</v>
      </c>
      <c r="N527" s="48"/>
      <c r="O527" s="50"/>
      <c r="P527" s="21">
        <f>SUM(D527:O527)</f>
        <v>5523.33</v>
      </c>
    </row>
    <row r="528" spans="3:16" ht="13.5" customHeight="1">
      <c r="C528" s="4" t="str">
        <f>C522</f>
        <v>Treasury Fee</v>
      </c>
      <c r="D528" s="48">
        <v>250</v>
      </c>
      <c r="P528" s="21">
        <f>SUM(D528:O528)</f>
        <v>250</v>
      </c>
    </row>
    <row r="529" spans="3:16" ht="13.5" customHeight="1" thickBot="1">
      <c r="C529" s="4" t="str">
        <f>C523</f>
        <v>Intercept</v>
      </c>
      <c r="D529" s="48">
        <f aca="true" t="shared" si="31" ref="D529:J529">14166.67+24427.29</f>
        <v>38593.96</v>
      </c>
      <c r="E529" s="48">
        <f>14166.67+24427.3</f>
        <v>38593.97</v>
      </c>
      <c r="F529" s="48">
        <f t="shared" si="31"/>
        <v>38593.96</v>
      </c>
      <c r="G529" s="48">
        <f t="shared" si="31"/>
        <v>38593.96</v>
      </c>
      <c r="H529" s="48">
        <f t="shared" si="31"/>
        <v>38593.96</v>
      </c>
      <c r="I529" s="48">
        <f t="shared" si="31"/>
        <v>38593.96</v>
      </c>
      <c r="J529" s="48">
        <f t="shared" si="31"/>
        <v>38593.96</v>
      </c>
      <c r="K529" s="48">
        <f>14166.63+24427.3</f>
        <v>38593.93</v>
      </c>
      <c r="L529" s="48">
        <f>15000+23782.71</f>
        <v>38782.71</v>
      </c>
      <c r="M529" s="48">
        <f>15000+23782.71</f>
        <v>38782.71</v>
      </c>
      <c r="N529" s="48"/>
      <c r="O529" s="50"/>
      <c r="P529" s="21">
        <f>SUM(D529:O529)</f>
        <v>386317.08</v>
      </c>
    </row>
    <row r="530" spans="3:16" ht="13.5" customHeight="1" thickBot="1">
      <c r="C530" s="6" t="s">
        <v>174</v>
      </c>
      <c r="D530" s="22">
        <f aca="true" t="shared" si="32" ref="D530:O530">SUM(D527:D529)</f>
        <v>39397.71</v>
      </c>
      <c r="E530" s="22">
        <f t="shared" si="32"/>
        <v>39147.72</v>
      </c>
      <c r="F530" s="22">
        <f t="shared" si="32"/>
        <v>39147.71</v>
      </c>
      <c r="G530" s="22">
        <f t="shared" si="32"/>
        <v>39147.71</v>
      </c>
      <c r="H530" s="22">
        <f t="shared" si="32"/>
        <v>39147.71</v>
      </c>
      <c r="I530" s="22">
        <f t="shared" si="32"/>
        <v>39147.71</v>
      </c>
      <c r="J530" s="22">
        <f t="shared" si="32"/>
        <v>39147.71</v>
      </c>
      <c r="K530" s="22">
        <f t="shared" si="32"/>
        <v>39147.68</v>
      </c>
      <c r="L530" s="22">
        <f t="shared" si="32"/>
        <v>39336.46</v>
      </c>
      <c r="M530" s="22">
        <f t="shared" si="32"/>
        <v>39322.29</v>
      </c>
      <c r="N530" s="22">
        <f t="shared" si="32"/>
        <v>0</v>
      </c>
      <c r="O530" s="30">
        <f t="shared" si="32"/>
        <v>0</v>
      </c>
      <c r="P530" s="22">
        <f>SUM(P527:P529)</f>
        <v>392090.41000000003</v>
      </c>
    </row>
    <row r="531" ht="13.5" customHeight="1">
      <c r="C531" s="10"/>
    </row>
    <row r="532" spans="1:3" ht="13.5" customHeight="1">
      <c r="A532" s="14">
        <f>+A520+1</f>
        <v>14</v>
      </c>
      <c r="B532" s="39"/>
      <c r="C532" s="5" t="s">
        <v>175</v>
      </c>
    </row>
    <row r="533" spans="1:16" ht="13.5" customHeight="1">
      <c r="A533" s="16"/>
      <c r="B533" s="16"/>
      <c r="C533" s="4" t="str">
        <f>C527</f>
        <v>Debt Reserve</v>
      </c>
      <c r="D533" s="48">
        <v>389.41</v>
      </c>
      <c r="E533" s="48">
        <v>389.41</v>
      </c>
      <c r="F533" s="48">
        <v>389.41</v>
      </c>
      <c r="G533" s="48">
        <v>389.41</v>
      </c>
      <c r="H533" s="48">
        <v>389.4</v>
      </c>
      <c r="I533" s="48">
        <v>389.4</v>
      </c>
      <c r="J533" s="48">
        <v>389.4</v>
      </c>
      <c r="K533" s="48">
        <v>367.1</v>
      </c>
      <c r="L533" s="48">
        <v>367.1</v>
      </c>
      <c r="M533" s="48">
        <v>367.09</v>
      </c>
      <c r="N533" s="48">
        <v>367.09</v>
      </c>
      <c r="O533" s="50">
        <v>367.09</v>
      </c>
      <c r="P533" s="21">
        <f>SUM(D533:O533)</f>
        <v>4561.31</v>
      </c>
    </row>
    <row r="534" spans="3:16" ht="13.5" customHeight="1">
      <c r="C534" s="4" t="str">
        <f>C528</f>
        <v>Treasury Fee</v>
      </c>
      <c r="D534" s="48">
        <v>250</v>
      </c>
      <c r="P534" s="21">
        <f>SUM(D534:O534)</f>
        <v>250</v>
      </c>
    </row>
    <row r="535" spans="3:16" ht="13.5" customHeight="1" thickBot="1">
      <c r="C535" s="4" t="str">
        <f>C529</f>
        <v>Intercept</v>
      </c>
      <c r="D535" s="48">
        <f aca="true" t="shared" si="33" ref="D535:J535">22315.95+12499.97</f>
        <v>34815.92</v>
      </c>
      <c r="E535" s="48">
        <f>22315.95+12499.98</f>
        <v>34815.93</v>
      </c>
      <c r="F535" s="48">
        <f>22315.95+12499.98</f>
        <v>34815.93</v>
      </c>
      <c r="G535" s="48">
        <f>22315.95+12499.98</f>
        <v>34815.93</v>
      </c>
      <c r="H535" s="48">
        <f t="shared" si="33"/>
        <v>34815.92</v>
      </c>
      <c r="I535" s="48">
        <f t="shared" si="33"/>
        <v>34815.92</v>
      </c>
      <c r="J535" s="48">
        <f t="shared" si="33"/>
        <v>34815.92</v>
      </c>
      <c r="K535" s="48">
        <f>23054.61+11783.64</f>
        <v>34838.25</v>
      </c>
      <c r="L535" s="48">
        <f>23054.61+11783.64</f>
        <v>34838.25</v>
      </c>
      <c r="M535" s="48">
        <f>23054.61+11783.63</f>
        <v>34838.24</v>
      </c>
      <c r="N535" s="48">
        <f>23054.61+11783.63</f>
        <v>34838.24</v>
      </c>
      <c r="O535" s="50">
        <f>23054.61+11783.63</f>
        <v>34838.24</v>
      </c>
      <c r="P535" s="21">
        <f>SUM(D535:O535)</f>
        <v>417902.68999999994</v>
      </c>
    </row>
    <row r="536" spans="3:16" ht="13.5" customHeight="1" thickBot="1">
      <c r="C536" s="6" t="s">
        <v>176</v>
      </c>
      <c r="D536" s="22">
        <f aca="true" t="shared" si="34" ref="D536:O536">SUM(D533:D535)</f>
        <v>35455.33</v>
      </c>
      <c r="E536" s="22">
        <f t="shared" si="34"/>
        <v>35205.340000000004</v>
      </c>
      <c r="F536" s="22">
        <f t="shared" si="34"/>
        <v>35205.340000000004</v>
      </c>
      <c r="G536" s="22">
        <f t="shared" si="34"/>
        <v>35205.340000000004</v>
      </c>
      <c r="H536" s="22">
        <f t="shared" si="34"/>
        <v>35205.32</v>
      </c>
      <c r="I536" s="22">
        <f t="shared" si="34"/>
        <v>35205.32</v>
      </c>
      <c r="J536" s="22">
        <f t="shared" si="34"/>
        <v>35205.32</v>
      </c>
      <c r="K536" s="22">
        <f t="shared" si="34"/>
        <v>35205.35</v>
      </c>
      <c r="L536" s="22">
        <f t="shared" si="34"/>
        <v>35205.35</v>
      </c>
      <c r="M536" s="22">
        <f t="shared" si="34"/>
        <v>35205.329999999994</v>
      </c>
      <c r="N536" s="22">
        <f t="shared" si="34"/>
        <v>35205.329999999994</v>
      </c>
      <c r="O536" s="30">
        <f t="shared" si="34"/>
        <v>35205.329999999994</v>
      </c>
      <c r="P536" s="22">
        <f>SUM(P533:P535)</f>
        <v>422713.99999999994</v>
      </c>
    </row>
    <row r="537" ht="13.5" customHeight="1">
      <c r="C537" s="10"/>
    </row>
    <row r="538" spans="1:3" ht="13.5" customHeight="1">
      <c r="A538" s="14"/>
      <c r="B538" s="37" t="s">
        <v>104</v>
      </c>
      <c r="C538" s="25" t="s">
        <v>177</v>
      </c>
    </row>
    <row r="539" spans="1:3" ht="13.5" customHeight="1">
      <c r="A539" s="16"/>
      <c r="B539" s="16"/>
      <c r="C539" s="4" t="str">
        <f>C533</f>
        <v>Debt Reserve</v>
      </c>
    </row>
    <row r="540" ht="13.5" customHeight="1">
      <c r="C540" s="4" t="str">
        <f>C534</f>
        <v>Treasury Fee</v>
      </c>
    </row>
    <row r="541" ht="13.5" customHeight="1" thickBot="1">
      <c r="C541" s="4" t="str">
        <f>C535</f>
        <v>Intercept</v>
      </c>
    </row>
    <row r="542" ht="13.5" customHeight="1" thickBot="1">
      <c r="C542" s="6" t="s">
        <v>123</v>
      </c>
    </row>
    <row r="543" ht="13.5" customHeight="1">
      <c r="C543" s="10"/>
    </row>
    <row r="544" spans="1:3" ht="13.5" customHeight="1">
      <c r="A544" s="14"/>
      <c r="B544" s="37" t="s">
        <v>104</v>
      </c>
      <c r="C544" s="25" t="s">
        <v>180</v>
      </c>
    </row>
    <row r="545" spans="1:3" ht="13.5" customHeight="1">
      <c r="A545" s="16"/>
      <c r="B545" s="16"/>
      <c r="C545" s="4" t="str">
        <f>C539</f>
        <v>Debt Reserve</v>
      </c>
    </row>
    <row r="546" ht="13.5" customHeight="1">
      <c r="C546" s="4" t="str">
        <f>C540</f>
        <v>Treasury Fee</v>
      </c>
    </row>
    <row r="547" ht="13.5" customHeight="1" thickBot="1">
      <c r="C547" s="4" t="str">
        <f>C541</f>
        <v>Intercept</v>
      </c>
    </row>
    <row r="548" ht="13.5" customHeight="1" thickBot="1">
      <c r="C548" s="6" t="s">
        <v>158</v>
      </c>
    </row>
    <row r="549" ht="13.5" customHeight="1">
      <c r="C549" s="10"/>
    </row>
    <row r="550" spans="1:3" ht="13.5" customHeight="1">
      <c r="A550" s="14">
        <f>+A532+1</f>
        <v>15</v>
      </c>
      <c r="B550" s="39"/>
      <c r="C550" s="5" t="s">
        <v>178</v>
      </c>
    </row>
    <row r="551" spans="1:16" ht="13.5" customHeight="1">
      <c r="A551" s="16"/>
      <c r="B551" s="16"/>
      <c r="C551" s="4" t="str">
        <f>C545</f>
        <v>Debt Reserve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9">
        <v>0</v>
      </c>
      <c r="P551" s="21">
        <f>SUM(D551:O551)</f>
        <v>0</v>
      </c>
    </row>
    <row r="552" spans="3:16" ht="13.5" customHeight="1">
      <c r="C552" s="4" t="str">
        <f>C546</f>
        <v>Treasury Fee</v>
      </c>
      <c r="D552" s="48">
        <v>250</v>
      </c>
      <c r="P552" s="21">
        <f>SUM(D552:O552)</f>
        <v>250</v>
      </c>
    </row>
    <row r="553" spans="3:16" ht="13.5" customHeight="1" thickBot="1">
      <c r="C553" s="4" t="str">
        <f>C547</f>
        <v>Intercept</v>
      </c>
      <c r="D553" s="48">
        <f>6666.67+96934.79</f>
        <v>103601.45999999999</v>
      </c>
      <c r="E553" s="48">
        <f aca="true" t="shared" si="35" ref="E553:O553">6666.67+96934.79</f>
        <v>103601.45999999999</v>
      </c>
      <c r="F553" s="48">
        <f t="shared" si="35"/>
        <v>103601.45999999999</v>
      </c>
      <c r="G553" s="48">
        <f t="shared" si="35"/>
        <v>103601.45999999999</v>
      </c>
      <c r="H553" s="48">
        <f t="shared" si="35"/>
        <v>103601.45999999999</v>
      </c>
      <c r="I553" s="48">
        <f t="shared" si="35"/>
        <v>103601.45999999999</v>
      </c>
      <c r="J553" s="48">
        <f t="shared" si="35"/>
        <v>103601.45999999999</v>
      </c>
      <c r="K553" s="48">
        <f t="shared" si="35"/>
        <v>103601.45999999999</v>
      </c>
      <c r="L553" s="48">
        <f t="shared" si="35"/>
        <v>103601.45999999999</v>
      </c>
      <c r="M553" s="48">
        <f t="shared" si="35"/>
        <v>103601.45999999999</v>
      </c>
      <c r="N553" s="48">
        <f t="shared" si="35"/>
        <v>103601.45999999999</v>
      </c>
      <c r="O553" s="50">
        <f t="shared" si="35"/>
        <v>103601.45999999999</v>
      </c>
      <c r="P553" s="21">
        <f>SUM(D553:O553)</f>
        <v>1243217.5199999998</v>
      </c>
    </row>
    <row r="554" spans="3:16" ht="13.5" customHeight="1" thickBot="1">
      <c r="C554" s="6" t="s">
        <v>101</v>
      </c>
      <c r="D554" s="22">
        <f aca="true" t="shared" si="36" ref="D554:O554">SUM(D551:D553)</f>
        <v>103851.45999999999</v>
      </c>
      <c r="E554" s="22">
        <f t="shared" si="36"/>
        <v>103601.45999999999</v>
      </c>
      <c r="F554" s="22">
        <f t="shared" si="36"/>
        <v>103601.45999999999</v>
      </c>
      <c r="G554" s="22">
        <f t="shared" si="36"/>
        <v>103601.45999999999</v>
      </c>
      <c r="H554" s="22">
        <f t="shared" si="36"/>
        <v>103601.45999999999</v>
      </c>
      <c r="I554" s="22">
        <f t="shared" si="36"/>
        <v>103601.45999999999</v>
      </c>
      <c r="J554" s="22">
        <f t="shared" si="36"/>
        <v>103601.45999999999</v>
      </c>
      <c r="K554" s="22">
        <f t="shared" si="36"/>
        <v>103601.45999999999</v>
      </c>
      <c r="L554" s="22">
        <f t="shared" si="36"/>
        <v>103601.45999999999</v>
      </c>
      <c r="M554" s="22">
        <f t="shared" si="36"/>
        <v>103601.45999999999</v>
      </c>
      <c r="N554" s="22">
        <f t="shared" si="36"/>
        <v>103601.45999999999</v>
      </c>
      <c r="O554" s="30">
        <f t="shared" si="36"/>
        <v>103601.45999999999</v>
      </c>
      <c r="P554" s="22">
        <f>SUM(P551:P553)</f>
        <v>1243467.5199999998</v>
      </c>
    </row>
    <row r="555" ht="13.5" customHeight="1">
      <c r="C555" s="10"/>
    </row>
    <row r="556" spans="1:3" ht="13.5" customHeight="1">
      <c r="A556" s="14"/>
      <c r="B556" s="37" t="s">
        <v>104</v>
      </c>
      <c r="C556" s="25" t="s">
        <v>181</v>
      </c>
    </row>
    <row r="557" spans="1:3" ht="13.5" customHeight="1">
      <c r="A557" s="16"/>
      <c r="B557" s="16"/>
      <c r="C557" s="4" t="str">
        <f>C551</f>
        <v>Debt Reserve</v>
      </c>
    </row>
    <row r="558" ht="13.5" customHeight="1">
      <c r="C558" s="4" t="str">
        <f>C552</f>
        <v>Treasury Fee</v>
      </c>
    </row>
    <row r="559" ht="13.5" customHeight="1" thickBot="1">
      <c r="C559" s="4" t="str">
        <f>C553</f>
        <v>Intercept</v>
      </c>
    </row>
    <row r="560" ht="13.5" customHeight="1" thickBot="1">
      <c r="C560" s="6" t="s">
        <v>182</v>
      </c>
    </row>
    <row r="561" ht="13.5" customHeight="1">
      <c r="C561" s="10"/>
    </row>
    <row r="562" spans="1:3" ht="13.5" customHeight="1">
      <c r="A562" s="14"/>
      <c r="B562" s="37" t="s">
        <v>104</v>
      </c>
      <c r="C562" s="25" t="s">
        <v>183</v>
      </c>
    </row>
    <row r="563" spans="1:3" ht="13.5" customHeight="1">
      <c r="A563" s="16"/>
      <c r="B563" s="16"/>
      <c r="C563" s="4" t="str">
        <f>C557</f>
        <v>Debt Reserve</v>
      </c>
    </row>
    <row r="564" ht="13.5" customHeight="1">
      <c r="C564" s="4" t="str">
        <f>C558</f>
        <v>Treasury Fee</v>
      </c>
    </row>
    <row r="565" ht="13.5" customHeight="1" thickBot="1">
      <c r="C565" s="4" t="str">
        <f>C559</f>
        <v>Intercept</v>
      </c>
    </row>
    <row r="566" ht="13.5" customHeight="1" thickBot="1">
      <c r="C566" s="6" t="s">
        <v>184</v>
      </c>
    </row>
    <row r="567" ht="13.5" customHeight="1">
      <c r="C567" s="10"/>
    </row>
    <row r="568" spans="1:3" ht="13.5" customHeight="1">
      <c r="A568" s="14"/>
      <c r="B568" s="37" t="s">
        <v>104</v>
      </c>
      <c r="C568" s="25" t="s">
        <v>185</v>
      </c>
    </row>
    <row r="569" spans="1:3" ht="13.5" customHeight="1">
      <c r="A569" s="16"/>
      <c r="B569" s="16"/>
      <c r="C569" s="4" t="str">
        <f>C563</f>
        <v>Debt Reserve</v>
      </c>
    </row>
    <row r="570" ht="13.5" customHeight="1">
      <c r="C570" s="4" t="str">
        <f>C564</f>
        <v>Treasury Fee</v>
      </c>
    </row>
    <row r="571" ht="13.5" customHeight="1" thickBot="1">
      <c r="C571" s="4" t="str">
        <f>C565</f>
        <v>Intercept</v>
      </c>
    </row>
    <row r="572" ht="13.5" customHeight="1" thickBot="1">
      <c r="C572" s="6" t="s">
        <v>186</v>
      </c>
    </row>
    <row r="573" ht="13.5" customHeight="1">
      <c r="C573" s="10"/>
    </row>
    <row r="574" spans="1:3" ht="13.5" customHeight="1">
      <c r="A574" s="14">
        <f>+A550+1</f>
        <v>16</v>
      </c>
      <c r="B574" s="39"/>
      <c r="C574" s="5" t="s">
        <v>187</v>
      </c>
    </row>
    <row r="575" spans="1:16" ht="13.5" customHeight="1">
      <c r="A575" s="16"/>
      <c r="B575" s="16"/>
      <c r="C575" s="4" t="str">
        <f>C569</f>
        <v>Debt Reserve</v>
      </c>
      <c r="D575" s="48">
        <v>1120.42</v>
      </c>
      <c r="E575" s="48">
        <v>1120.42</v>
      </c>
      <c r="F575" s="48">
        <v>1120.42</v>
      </c>
      <c r="G575" s="48">
        <v>1120.42</v>
      </c>
      <c r="H575" s="48">
        <v>1120.42</v>
      </c>
      <c r="I575" s="48">
        <v>1120.42</v>
      </c>
      <c r="J575" s="48">
        <v>1120.42</v>
      </c>
      <c r="K575" s="48">
        <v>1120.42</v>
      </c>
      <c r="L575" s="48">
        <v>1093.33</v>
      </c>
      <c r="M575" s="48">
        <v>1093.33</v>
      </c>
      <c r="N575" s="48">
        <v>1093.33</v>
      </c>
      <c r="O575" s="50">
        <v>1093.33</v>
      </c>
      <c r="P575" s="21">
        <f>SUM(D575:O575)</f>
        <v>13336.68</v>
      </c>
    </row>
    <row r="576" spans="3:16" ht="13.5" customHeight="1">
      <c r="C576" s="4" t="str">
        <f>C570</f>
        <v>Treasury Fee</v>
      </c>
      <c r="D576" s="48">
        <v>250</v>
      </c>
      <c r="P576" s="21">
        <f>SUM(D576:O576)</f>
        <v>250</v>
      </c>
    </row>
    <row r="577" spans="3:16" ht="13.5" customHeight="1" thickBot="1">
      <c r="C577" s="4" t="str">
        <f>C571</f>
        <v>Intercept</v>
      </c>
      <c r="D577" s="48">
        <f>29583.33+59905.73</f>
        <v>89489.06</v>
      </c>
      <c r="E577" s="48">
        <f>29583.33+59905.73</f>
        <v>89489.06</v>
      </c>
      <c r="F577" s="48">
        <f>29583.33+59905.73</f>
        <v>89489.06</v>
      </c>
      <c r="G577" s="48">
        <f>29583.33+59905.73</f>
        <v>89489.06</v>
      </c>
      <c r="H577" s="48">
        <f>29583.33+59905.73</f>
        <v>89489.06</v>
      </c>
      <c r="I577" s="48">
        <f>29583.37+59905.73</f>
        <v>89489.1</v>
      </c>
      <c r="J577" s="48">
        <f>30416.67+58952.61</f>
        <v>89369.28</v>
      </c>
      <c r="K577" s="48">
        <f>30416.67+58952.61</f>
        <v>89369.28</v>
      </c>
      <c r="L577" s="48">
        <f>30416.67+58952.61</f>
        <v>89369.28</v>
      </c>
      <c r="M577" s="48">
        <f>30416.67+58952.61</f>
        <v>89369.28</v>
      </c>
      <c r="N577" s="48">
        <f>30416.67+58952.61</f>
        <v>89369.28</v>
      </c>
      <c r="O577" s="50">
        <f>30416.67+58952.58</f>
        <v>89369.25</v>
      </c>
      <c r="P577" s="21">
        <f>SUM(D577:O577)</f>
        <v>1073150.0500000003</v>
      </c>
    </row>
    <row r="578" spans="3:16" ht="13.5" customHeight="1" thickBot="1">
      <c r="C578" s="6" t="s">
        <v>188</v>
      </c>
      <c r="D578" s="22">
        <f aca="true" t="shared" si="37" ref="D578:O578">SUM(D575:D577)</f>
        <v>90859.48</v>
      </c>
      <c r="E578" s="22">
        <f t="shared" si="37"/>
        <v>90609.48</v>
      </c>
      <c r="F578" s="22">
        <f t="shared" si="37"/>
        <v>90609.48</v>
      </c>
      <c r="G578" s="22">
        <f t="shared" si="37"/>
        <v>90609.48</v>
      </c>
      <c r="H578" s="22">
        <f t="shared" si="37"/>
        <v>90609.48</v>
      </c>
      <c r="I578" s="22">
        <f t="shared" si="37"/>
        <v>90609.52</v>
      </c>
      <c r="J578" s="22">
        <f t="shared" si="37"/>
        <v>90489.7</v>
      </c>
      <c r="K578" s="22">
        <f t="shared" si="37"/>
        <v>90489.7</v>
      </c>
      <c r="L578" s="22">
        <f t="shared" si="37"/>
        <v>90462.61</v>
      </c>
      <c r="M578" s="22">
        <f t="shared" si="37"/>
        <v>90462.61</v>
      </c>
      <c r="N578" s="22">
        <f t="shared" si="37"/>
        <v>90462.61</v>
      </c>
      <c r="O578" s="30">
        <f t="shared" si="37"/>
        <v>90462.58</v>
      </c>
      <c r="P578" s="22">
        <f>SUM(P575:P577)</f>
        <v>1086736.7300000002</v>
      </c>
    </row>
    <row r="579" ht="13.5" customHeight="1">
      <c r="C579" s="10"/>
    </row>
    <row r="580" spans="1:3" ht="13.5" customHeight="1">
      <c r="A580" s="14">
        <f>+A574+1</f>
        <v>17</v>
      </c>
      <c r="B580" s="39"/>
      <c r="C580" s="5" t="s">
        <v>189</v>
      </c>
    </row>
    <row r="581" spans="1:16" ht="13.5" customHeight="1">
      <c r="A581" s="16"/>
      <c r="B581" s="16"/>
      <c r="C581" s="4" t="str">
        <f>C575</f>
        <v>Debt Reserve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9">
        <v>0</v>
      </c>
      <c r="P581" s="21">
        <f>SUM(D581:O581)</f>
        <v>0</v>
      </c>
    </row>
    <row r="582" spans="3:16" ht="13.5" customHeight="1">
      <c r="C582" s="4" t="str">
        <f>C576</f>
        <v>Treasury Fee</v>
      </c>
      <c r="D582" s="48">
        <v>250</v>
      </c>
      <c r="P582" s="21">
        <f>SUM(D582:O582)</f>
        <v>250</v>
      </c>
    </row>
    <row r="583" spans="3:16" ht="13.5" customHeight="1" thickBot="1">
      <c r="C583" s="4" t="str">
        <f>C577</f>
        <v>Intercept</v>
      </c>
      <c r="D583" s="48">
        <f>21284.24+18040.3</f>
        <v>39324.54</v>
      </c>
      <c r="E583" s="48">
        <f>21709.93+17614.6</f>
        <v>39324.53</v>
      </c>
      <c r="F583" s="48">
        <f>21709.93+17614.6</f>
        <v>39324.53</v>
      </c>
      <c r="G583" s="48">
        <f>21709.93+17614.6</f>
        <v>39324.53</v>
      </c>
      <c r="H583" s="48">
        <f>21709.93+17614.6</f>
        <v>39324.53</v>
      </c>
      <c r="I583" s="48">
        <f>21709.93+17614.6</f>
        <v>39324.53</v>
      </c>
      <c r="J583" s="48">
        <f>21709.9+17614.6</f>
        <v>39324.5</v>
      </c>
      <c r="K583" s="48">
        <f>22144.13+17180.4</f>
        <v>39324.53</v>
      </c>
      <c r="L583" s="48">
        <f>22144.13+17180.4</f>
        <v>39324.53</v>
      </c>
      <c r="M583" s="48">
        <f>22144.13+17180.4</f>
        <v>39324.53</v>
      </c>
      <c r="N583" s="48">
        <f>22144.13+17180.4</f>
        <v>39324.53</v>
      </c>
      <c r="O583" s="50">
        <f>22144.13+17180.4</f>
        <v>39324.53</v>
      </c>
      <c r="P583" s="21">
        <f>SUM(D583:O583)</f>
        <v>471894.3400000001</v>
      </c>
    </row>
    <row r="584" spans="3:16" ht="13.5" customHeight="1" thickBot="1">
      <c r="C584" s="6" t="s">
        <v>190</v>
      </c>
      <c r="D584" s="22">
        <f aca="true" t="shared" si="38" ref="D584:O584">SUM(D581:D583)</f>
        <v>39574.54</v>
      </c>
      <c r="E584" s="22">
        <f t="shared" si="38"/>
        <v>39324.53</v>
      </c>
      <c r="F584" s="22">
        <f t="shared" si="38"/>
        <v>39324.53</v>
      </c>
      <c r="G584" s="22">
        <f t="shared" si="38"/>
        <v>39324.53</v>
      </c>
      <c r="H584" s="22">
        <f t="shared" si="38"/>
        <v>39324.53</v>
      </c>
      <c r="I584" s="22">
        <f t="shared" si="38"/>
        <v>39324.53</v>
      </c>
      <c r="J584" s="22">
        <f t="shared" si="38"/>
        <v>39324.5</v>
      </c>
      <c r="K584" s="22">
        <f t="shared" si="38"/>
        <v>39324.53</v>
      </c>
      <c r="L584" s="22">
        <f t="shared" si="38"/>
        <v>39324.53</v>
      </c>
      <c r="M584" s="22">
        <f t="shared" si="38"/>
        <v>39324.53</v>
      </c>
      <c r="N584" s="22">
        <f t="shared" si="38"/>
        <v>39324.53</v>
      </c>
      <c r="O584" s="30">
        <f t="shared" si="38"/>
        <v>39324.53</v>
      </c>
      <c r="P584" s="22">
        <f>SUM(P581:P583)</f>
        <v>472144.3400000001</v>
      </c>
    </row>
    <row r="585" ht="13.5" customHeight="1">
      <c r="C585" s="10"/>
    </row>
    <row r="586" spans="1:3" ht="13.5" customHeight="1">
      <c r="A586" s="14">
        <f>+A580+1</f>
        <v>18</v>
      </c>
      <c r="B586" s="39"/>
      <c r="C586" s="5" t="s">
        <v>191</v>
      </c>
    </row>
    <row r="587" spans="1:16" ht="13.5" customHeight="1">
      <c r="A587" s="16"/>
      <c r="B587" s="16"/>
      <c r="C587" s="4" t="str">
        <f>C581</f>
        <v>Debt Reserve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9">
        <v>0</v>
      </c>
      <c r="P587" s="21">
        <f>SUM(D587:O587)</f>
        <v>0</v>
      </c>
    </row>
    <row r="588" spans="3:16" ht="13.5" customHeight="1">
      <c r="C588" s="4" t="str">
        <f>C582</f>
        <v>Treasury Fee</v>
      </c>
      <c r="D588" s="48">
        <v>250</v>
      </c>
      <c r="P588" s="21">
        <f>SUM(D588:O588)</f>
        <v>250</v>
      </c>
    </row>
    <row r="589" spans="3:16" ht="13.5" customHeight="1" thickBot="1">
      <c r="C589" s="4" t="str">
        <f>C583</f>
        <v>Intercept</v>
      </c>
      <c r="D589" s="48">
        <f>4583.33+15247.5</f>
        <v>19830.83</v>
      </c>
      <c r="E589" s="48">
        <f>4583.33+15247.5</f>
        <v>19830.83</v>
      </c>
      <c r="F589" s="48">
        <f>4583.33+15247.5</f>
        <v>19830.83</v>
      </c>
      <c r="G589" s="48">
        <f>4583.37+15247.5</f>
        <v>19830.87</v>
      </c>
      <c r="H589" s="48">
        <f>5000+15002.29</f>
        <v>20002.29</v>
      </c>
      <c r="I589" s="48">
        <f aca="true" t="shared" si="39" ref="I589:O589">5000+15002.29</f>
        <v>20002.29</v>
      </c>
      <c r="J589" s="48">
        <f t="shared" si="39"/>
        <v>20002.29</v>
      </c>
      <c r="K589" s="48">
        <f t="shared" si="39"/>
        <v>20002.29</v>
      </c>
      <c r="L589" s="48">
        <f t="shared" si="39"/>
        <v>20002.29</v>
      </c>
      <c r="M589" s="48">
        <f>5000+15002.3</f>
        <v>20002.3</v>
      </c>
      <c r="N589" s="48">
        <f t="shared" si="39"/>
        <v>20002.29</v>
      </c>
      <c r="O589" s="50">
        <f t="shared" si="39"/>
        <v>20002.29</v>
      </c>
      <c r="P589" s="21">
        <f>SUM(D589:O589)</f>
        <v>239341.69000000003</v>
      </c>
    </row>
    <row r="590" spans="3:16" ht="13.5" customHeight="1" thickBot="1">
      <c r="C590" s="6" t="s">
        <v>192</v>
      </c>
      <c r="D590" s="22">
        <f aca="true" t="shared" si="40" ref="D590:O590">SUM(D587:D589)</f>
        <v>20080.83</v>
      </c>
      <c r="E590" s="22">
        <f t="shared" si="40"/>
        <v>19830.83</v>
      </c>
      <c r="F590" s="22">
        <f t="shared" si="40"/>
        <v>19830.83</v>
      </c>
      <c r="G590" s="22">
        <f t="shared" si="40"/>
        <v>19830.87</v>
      </c>
      <c r="H590" s="22">
        <f t="shared" si="40"/>
        <v>20002.29</v>
      </c>
      <c r="I590" s="22">
        <f t="shared" si="40"/>
        <v>20002.29</v>
      </c>
      <c r="J590" s="22">
        <f t="shared" si="40"/>
        <v>20002.29</v>
      </c>
      <c r="K590" s="22">
        <f t="shared" si="40"/>
        <v>20002.29</v>
      </c>
      <c r="L590" s="22">
        <f t="shared" si="40"/>
        <v>20002.29</v>
      </c>
      <c r="M590" s="22">
        <f t="shared" si="40"/>
        <v>20002.3</v>
      </c>
      <c r="N590" s="22">
        <f t="shared" si="40"/>
        <v>20002.29</v>
      </c>
      <c r="O590" s="30">
        <f t="shared" si="40"/>
        <v>20002.29</v>
      </c>
      <c r="P590" s="22">
        <f>SUM(P587:P589)</f>
        <v>239591.69000000003</v>
      </c>
    </row>
    <row r="591" ht="13.5" customHeight="1">
      <c r="C591" s="10"/>
    </row>
    <row r="592" spans="1:3" ht="13.5" customHeight="1">
      <c r="A592" s="14">
        <f>+A586+1</f>
        <v>19</v>
      </c>
      <c r="B592" s="39"/>
      <c r="C592" s="5" t="s">
        <v>193</v>
      </c>
    </row>
    <row r="593" spans="1:16" ht="13.5" customHeight="1">
      <c r="A593" s="16"/>
      <c r="B593" s="16"/>
      <c r="C593" s="4" t="str">
        <f>C587</f>
        <v>Debt Reserve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9">
        <v>0</v>
      </c>
      <c r="P593" s="21">
        <f>SUM(D593:O593)</f>
        <v>0</v>
      </c>
    </row>
    <row r="594" spans="3:16" ht="13.5" customHeight="1">
      <c r="C594" s="4" t="str">
        <f>C588</f>
        <v>Treasury Fee</v>
      </c>
      <c r="D594" s="48">
        <v>250</v>
      </c>
      <c r="P594" s="21">
        <f>SUM(D594:O594)</f>
        <v>250</v>
      </c>
    </row>
    <row r="595" spans="3:16" ht="13.5" customHeight="1" thickBot="1">
      <c r="C595" s="4" t="str">
        <f>C589</f>
        <v>Intercept</v>
      </c>
      <c r="D595" s="48">
        <f aca="true" t="shared" si="41" ref="D595:M595">37083.33+120740.11</f>
        <v>157823.44</v>
      </c>
      <c r="E595" s="48">
        <f t="shared" si="41"/>
        <v>157823.44</v>
      </c>
      <c r="F595" s="48">
        <f t="shared" si="41"/>
        <v>157823.44</v>
      </c>
      <c r="G595" s="48">
        <f t="shared" si="41"/>
        <v>157823.44</v>
      </c>
      <c r="H595" s="48">
        <f t="shared" si="41"/>
        <v>157823.44</v>
      </c>
      <c r="I595" s="48">
        <f t="shared" si="41"/>
        <v>157823.44</v>
      </c>
      <c r="J595" s="48">
        <f t="shared" si="41"/>
        <v>157823.44</v>
      </c>
      <c r="K595" s="48">
        <f t="shared" si="41"/>
        <v>157823.44</v>
      </c>
      <c r="L595" s="48">
        <f t="shared" si="41"/>
        <v>157823.44</v>
      </c>
      <c r="M595" s="48">
        <f t="shared" si="41"/>
        <v>157823.44</v>
      </c>
      <c r="N595" s="48">
        <f>38750+119210.42</f>
        <v>157960.41999999998</v>
      </c>
      <c r="O595" s="50">
        <f>38750+119210.42</f>
        <v>157960.41999999998</v>
      </c>
      <c r="P595" s="21">
        <f>SUM(D595:O595)</f>
        <v>1894155.2399999995</v>
      </c>
    </row>
    <row r="596" spans="3:16" ht="13.5" customHeight="1" thickBot="1">
      <c r="C596" s="6" t="s">
        <v>160</v>
      </c>
      <c r="D596" s="22">
        <f aca="true" t="shared" si="42" ref="D596:O596">SUM(D593:D595)</f>
        <v>158073.44</v>
      </c>
      <c r="E596" s="22">
        <f t="shared" si="42"/>
        <v>157823.44</v>
      </c>
      <c r="F596" s="22">
        <f t="shared" si="42"/>
        <v>157823.44</v>
      </c>
      <c r="G596" s="22">
        <f t="shared" si="42"/>
        <v>157823.44</v>
      </c>
      <c r="H596" s="22">
        <f t="shared" si="42"/>
        <v>157823.44</v>
      </c>
      <c r="I596" s="22">
        <f t="shared" si="42"/>
        <v>157823.44</v>
      </c>
      <c r="J596" s="22">
        <f t="shared" si="42"/>
        <v>157823.44</v>
      </c>
      <c r="K596" s="22">
        <f t="shared" si="42"/>
        <v>157823.44</v>
      </c>
      <c r="L596" s="22">
        <f t="shared" si="42"/>
        <v>157823.44</v>
      </c>
      <c r="M596" s="22">
        <f t="shared" si="42"/>
        <v>157823.44</v>
      </c>
      <c r="N596" s="22">
        <f t="shared" si="42"/>
        <v>157960.41999999998</v>
      </c>
      <c r="O596" s="30">
        <f t="shared" si="42"/>
        <v>157960.41999999998</v>
      </c>
      <c r="P596" s="22">
        <f>SUM(P593:P595)</f>
        <v>1894405.2399999995</v>
      </c>
    </row>
    <row r="597" ht="13.5" customHeight="1">
      <c r="C597" s="10"/>
    </row>
    <row r="598" spans="1:3" ht="13.5" customHeight="1">
      <c r="A598" s="14">
        <f>+A592+1</f>
        <v>20</v>
      </c>
      <c r="B598" s="39"/>
      <c r="C598" s="5" t="s">
        <v>194</v>
      </c>
    </row>
    <row r="599" spans="1:16" ht="13.5" customHeight="1">
      <c r="A599" s="16"/>
      <c r="B599" s="16"/>
      <c r="C599" s="4" t="str">
        <f>C593</f>
        <v>Debt Reserve</v>
      </c>
      <c r="D599" s="48">
        <v>1169.58</v>
      </c>
      <c r="E599" s="48">
        <v>1169.58</v>
      </c>
      <c r="F599" s="48">
        <v>1169.58</v>
      </c>
      <c r="G599" s="48">
        <v>1169.58</v>
      </c>
      <c r="H599" s="48">
        <v>1169.58</v>
      </c>
      <c r="I599" s="48">
        <v>1169.58</v>
      </c>
      <c r="J599" s="48">
        <v>1169.58</v>
      </c>
      <c r="K599" s="48">
        <v>1169.58</v>
      </c>
      <c r="L599" s="48">
        <v>1169.58</v>
      </c>
      <c r="M599" s="48">
        <v>1169.58</v>
      </c>
      <c r="N599" s="48">
        <v>1169.58</v>
      </c>
      <c r="O599" s="50">
        <v>1169.58</v>
      </c>
      <c r="P599" s="21">
        <f>SUM(D599:O599)</f>
        <v>14034.96</v>
      </c>
    </row>
    <row r="600" spans="3:16" ht="13.5" customHeight="1">
      <c r="C600" s="4" t="str">
        <f>C594</f>
        <v>Treasury Fee</v>
      </c>
      <c r="D600" s="48">
        <v>250</v>
      </c>
      <c r="P600" s="21">
        <f>SUM(D600:O600)</f>
        <v>250</v>
      </c>
    </row>
    <row r="601" spans="3:16" ht="13.5" customHeight="1" thickBot="1">
      <c r="C601" s="4" t="str">
        <f>C595</f>
        <v>Intercept</v>
      </c>
      <c r="D601" s="48">
        <f>59166.67+59212.5</f>
        <v>118379.17</v>
      </c>
      <c r="E601" s="48">
        <f>61666.67+56845.83</f>
        <v>118512.5</v>
      </c>
      <c r="F601" s="48">
        <f aca="true" t="shared" si="43" ref="F601:O601">61666.67+56845.83</f>
        <v>118512.5</v>
      </c>
      <c r="G601" s="48">
        <f t="shared" si="43"/>
        <v>118512.5</v>
      </c>
      <c r="H601" s="48">
        <f t="shared" si="43"/>
        <v>118512.5</v>
      </c>
      <c r="I601" s="48">
        <f t="shared" si="43"/>
        <v>118512.5</v>
      </c>
      <c r="J601" s="48">
        <f t="shared" si="43"/>
        <v>118512.5</v>
      </c>
      <c r="K601" s="48">
        <f t="shared" si="43"/>
        <v>118512.5</v>
      </c>
      <c r="L601" s="48">
        <f t="shared" si="43"/>
        <v>118512.5</v>
      </c>
      <c r="M601" s="48">
        <f t="shared" si="43"/>
        <v>118512.5</v>
      </c>
      <c r="N601" s="48">
        <f t="shared" si="43"/>
        <v>118512.5</v>
      </c>
      <c r="O601" s="50">
        <f t="shared" si="43"/>
        <v>118512.5</v>
      </c>
      <c r="P601" s="21">
        <f>SUM(D601:O601)</f>
        <v>1422016.67</v>
      </c>
    </row>
    <row r="602" spans="3:16" ht="13.5" customHeight="1" thickBot="1">
      <c r="C602" s="6" t="s">
        <v>22</v>
      </c>
      <c r="D602" s="22">
        <f aca="true" t="shared" si="44" ref="D602:O602">SUM(D599:D601)</f>
        <v>119798.75</v>
      </c>
      <c r="E602" s="22">
        <f t="shared" si="44"/>
        <v>119682.08</v>
      </c>
      <c r="F602" s="22">
        <f t="shared" si="44"/>
        <v>119682.08</v>
      </c>
      <c r="G602" s="22">
        <f t="shared" si="44"/>
        <v>119682.08</v>
      </c>
      <c r="H602" s="22">
        <f t="shared" si="44"/>
        <v>119682.08</v>
      </c>
      <c r="I602" s="22">
        <f t="shared" si="44"/>
        <v>119682.08</v>
      </c>
      <c r="J602" s="22">
        <f t="shared" si="44"/>
        <v>119682.08</v>
      </c>
      <c r="K602" s="22">
        <f t="shared" si="44"/>
        <v>119682.08</v>
      </c>
      <c r="L602" s="22">
        <f t="shared" si="44"/>
        <v>119682.08</v>
      </c>
      <c r="M602" s="22">
        <f t="shared" si="44"/>
        <v>119682.08</v>
      </c>
      <c r="N602" s="22">
        <f t="shared" si="44"/>
        <v>119682.08</v>
      </c>
      <c r="O602" s="30">
        <f t="shared" si="44"/>
        <v>119682.08</v>
      </c>
      <c r="P602" s="22">
        <f>SUM(P599:P601)</f>
        <v>1436301.63</v>
      </c>
    </row>
    <row r="603" ht="13.5" customHeight="1">
      <c r="C603" s="10"/>
    </row>
    <row r="604" spans="1:3" ht="13.5" customHeight="1">
      <c r="A604" s="14">
        <f>+A598+1</f>
        <v>21</v>
      </c>
      <c r="B604" s="39"/>
      <c r="C604" s="5" t="s">
        <v>199</v>
      </c>
    </row>
    <row r="605" spans="1:16" ht="13.5" customHeight="1">
      <c r="A605" s="16"/>
      <c r="B605" s="16"/>
      <c r="C605" s="4" t="str">
        <f>C599</f>
        <v>Debt Reserve</v>
      </c>
      <c r="D605" s="48">
        <v>1658.33</v>
      </c>
      <c r="E605" s="48">
        <v>1658.33</v>
      </c>
      <c r="F605" s="48">
        <v>1658.33</v>
      </c>
      <c r="G605" s="48">
        <v>1658.33</v>
      </c>
      <c r="H605" s="48">
        <v>1620.42</v>
      </c>
      <c r="I605" s="48">
        <v>1620.42</v>
      </c>
      <c r="J605" s="48">
        <v>1620.42</v>
      </c>
      <c r="K605" s="48">
        <v>1620.42</v>
      </c>
      <c r="L605" s="48">
        <v>1620.42</v>
      </c>
      <c r="M605" s="48">
        <v>1620.42</v>
      </c>
      <c r="N605" s="48">
        <v>1620.42</v>
      </c>
      <c r="O605" s="50">
        <v>1620.42</v>
      </c>
      <c r="P605" s="21">
        <f>SUM(D605:O605)</f>
        <v>19596.68</v>
      </c>
    </row>
    <row r="606" spans="3:16" ht="13.5" customHeight="1">
      <c r="C606" s="4" t="str">
        <f>C600</f>
        <v>Treasury Fee</v>
      </c>
      <c r="D606" s="48">
        <v>250</v>
      </c>
      <c r="P606" s="21">
        <f>SUM(D606:O606)</f>
        <v>250</v>
      </c>
    </row>
    <row r="607" spans="3:16" ht="13.5" customHeight="1" thickBot="1">
      <c r="C607" s="4" t="str">
        <f>C601</f>
        <v>Intercept</v>
      </c>
      <c r="D607" s="48">
        <f>37916.67+70515.63</f>
        <v>108432.3</v>
      </c>
      <c r="E607" s="48">
        <f>37916.67+70515.63</f>
        <v>108432.3</v>
      </c>
      <c r="F607" s="48">
        <f>37916.67+70515.63</f>
        <v>108432.3</v>
      </c>
      <c r="G607" s="48">
        <f>37916.63+70515.6</f>
        <v>108432.23000000001</v>
      </c>
      <c r="H607" s="48">
        <f>39583.33+68998.96</f>
        <v>108582.29000000001</v>
      </c>
      <c r="I607" s="48">
        <f aca="true" t="shared" si="45" ref="I607:O607">39583.33+68998.96</f>
        <v>108582.29000000001</v>
      </c>
      <c r="J607" s="48">
        <f t="shared" si="45"/>
        <v>108582.29000000001</v>
      </c>
      <c r="K607" s="48">
        <f t="shared" si="45"/>
        <v>108582.29000000001</v>
      </c>
      <c r="L607" s="48">
        <f t="shared" si="45"/>
        <v>108582.29000000001</v>
      </c>
      <c r="M607" s="48">
        <f t="shared" si="45"/>
        <v>108582.29000000001</v>
      </c>
      <c r="N607" s="48">
        <f t="shared" si="45"/>
        <v>108582.29000000001</v>
      </c>
      <c r="O607" s="50">
        <f t="shared" si="45"/>
        <v>108582.29000000001</v>
      </c>
      <c r="P607" s="21">
        <f>SUM(D607:O607)</f>
        <v>1302387.4500000002</v>
      </c>
    </row>
    <row r="608" spans="3:16" ht="13.5" customHeight="1" thickBot="1">
      <c r="C608" s="6" t="s">
        <v>119</v>
      </c>
      <c r="D608" s="22">
        <f aca="true" t="shared" si="46" ref="D608:O608">SUM(D605:D607)</f>
        <v>110340.63</v>
      </c>
      <c r="E608" s="22">
        <f t="shared" si="46"/>
        <v>110090.63</v>
      </c>
      <c r="F608" s="22">
        <f t="shared" si="46"/>
        <v>110090.63</v>
      </c>
      <c r="G608" s="22">
        <f t="shared" si="46"/>
        <v>110090.56000000001</v>
      </c>
      <c r="H608" s="22">
        <f t="shared" si="46"/>
        <v>110202.71</v>
      </c>
      <c r="I608" s="22">
        <f t="shared" si="46"/>
        <v>110202.71</v>
      </c>
      <c r="J608" s="22">
        <f t="shared" si="46"/>
        <v>110202.71</v>
      </c>
      <c r="K608" s="22">
        <f t="shared" si="46"/>
        <v>110202.71</v>
      </c>
      <c r="L608" s="22">
        <f t="shared" si="46"/>
        <v>110202.71</v>
      </c>
      <c r="M608" s="22">
        <f t="shared" si="46"/>
        <v>110202.71</v>
      </c>
      <c r="N608" s="22">
        <f t="shared" si="46"/>
        <v>110202.71</v>
      </c>
      <c r="O608" s="30">
        <f t="shared" si="46"/>
        <v>110202.71</v>
      </c>
      <c r="P608" s="22">
        <f>SUM(P605:P607)</f>
        <v>1322234.1300000001</v>
      </c>
    </row>
    <row r="609" ht="13.5" customHeight="1">
      <c r="C609" s="10"/>
    </row>
    <row r="610" spans="1:3" ht="13.5" customHeight="1">
      <c r="A610" s="14">
        <f>+A604+1</f>
        <v>22</v>
      </c>
      <c r="C610" s="5" t="s">
        <v>205</v>
      </c>
    </row>
    <row r="611" spans="3:16" ht="13.5" customHeight="1">
      <c r="C611" s="4" t="s">
        <v>3</v>
      </c>
      <c r="D611" s="48">
        <v>2654.58</v>
      </c>
      <c r="E611" s="48">
        <v>2654.58</v>
      </c>
      <c r="F611" s="48">
        <v>2654.58</v>
      </c>
      <c r="G611" s="48">
        <v>2654.58</v>
      </c>
      <c r="H611" s="48">
        <v>2654.58</v>
      </c>
      <c r="I611" s="48">
        <v>2654.58</v>
      </c>
      <c r="J611" s="48">
        <v>2569.58</v>
      </c>
      <c r="K611" s="48">
        <v>2569.58</v>
      </c>
      <c r="L611" s="48">
        <v>2569.58</v>
      </c>
      <c r="M611" s="48">
        <v>2569.58</v>
      </c>
      <c r="N611" s="48">
        <v>2569.58</v>
      </c>
      <c r="O611" s="50">
        <v>2569.58</v>
      </c>
      <c r="P611" s="21">
        <f>SUM(D611:O611)</f>
        <v>31344.960000000006</v>
      </c>
    </row>
    <row r="612" spans="3:16" ht="13.5" customHeight="1">
      <c r="C612" s="4" t="s">
        <v>4</v>
      </c>
      <c r="D612" s="48">
        <v>250</v>
      </c>
      <c r="P612" s="21">
        <f>SUM(D612:O612)</f>
        <v>250</v>
      </c>
    </row>
    <row r="613" spans="3:16" ht="13.5" customHeight="1" thickBot="1">
      <c r="C613" s="4" t="s">
        <v>5</v>
      </c>
      <c r="D613" s="48">
        <f>85000+114864.58</f>
        <v>199864.58000000002</v>
      </c>
      <c r="E613" s="48">
        <f>85000+114864.58</f>
        <v>199864.58000000002</v>
      </c>
      <c r="F613" s="48">
        <f>85000+114864.58</f>
        <v>199864.58000000002</v>
      </c>
      <c r="G613" s="48">
        <f>85000+114864.58</f>
        <v>199864.58000000002</v>
      </c>
      <c r="H613" s="48">
        <f>85000+114864.6</f>
        <v>199864.6</v>
      </c>
      <c r="I613" s="48">
        <f>88333.33+111464.58</f>
        <v>199797.91</v>
      </c>
      <c r="J613" s="48">
        <f aca="true" t="shared" si="47" ref="J613:O613">88333.33+111464.58</f>
        <v>199797.91</v>
      </c>
      <c r="K613" s="48">
        <f t="shared" si="47"/>
        <v>199797.91</v>
      </c>
      <c r="L613" s="48">
        <f t="shared" si="47"/>
        <v>199797.91</v>
      </c>
      <c r="M613" s="48">
        <f t="shared" si="47"/>
        <v>199797.91</v>
      </c>
      <c r="N613" s="48">
        <f>88333.33+111464.6</f>
        <v>199797.93</v>
      </c>
      <c r="O613" s="50">
        <f t="shared" si="47"/>
        <v>199797.91</v>
      </c>
      <c r="P613" s="21">
        <f>SUM(D613:O613)</f>
        <v>2397908.31</v>
      </c>
    </row>
    <row r="614" spans="3:16" ht="13.5" customHeight="1" thickBot="1">
      <c r="C614" s="6" t="s">
        <v>206</v>
      </c>
      <c r="D614" s="22">
        <f aca="true" t="shared" si="48" ref="D614:O614">SUM(D611:D613)</f>
        <v>202769.16</v>
      </c>
      <c r="E614" s="22">
        <f t="shared" si="48"/>
        <v>202519.16</v>
      </c>
      <c r="F614" s="22">
        <f t="shared" si="48"/>
        <v>202519.16</v>
      </c>
      <c r="G614" s="22">
        <f t="shared" si="48"/>
        <v>202519.16</v>
      </c>
      <c r="H614" s="22">
        <f t="shared" si="48"/>
        <v>202519.18</v>
      </c>
      <c r="I614" s="22">
        <f t="shared" si="48"/>
        <v>202452.49</v>
      </c>
      <c r="J614" s="22">
        <f t="shared" si="48"/>
        <v>202367.49</v>
      </c>
      <c r="K614" s="22">
        <f t="shared" si="48"/>
        <v>202367.49</v>
      </c>
      <c r="L614" s="22">
        <f t="shared" si="48"/>
        <v>202367.49</v>
      </c>
      <c r="M614" s="22">
        <f t="shared" si="48"/>
        <v>202367.49</v>
      </c>
      <c r="N614" s="22">
        <f t="shared" si="48"/>
        <v>202367.50999999998</v>
      </c>
      <c r="O614" s="30">
        <f t="shared" si="48"/>
        <v>202367.49</v>
      </c>
      <c r="P614" s="22">
        <f>SUM(P611:P613)</f>
        <v>2429503.27</v>
      </c>
    </row>
    <row r="615" ht="13.5" customHeight="1">
      <c r="C615" s="10"/>
    </row>
    <row r="616" spans="1:3" ht="13.5" customHeight="1">
      <c r="A616" s="14">
        <f>+A610+1</f>
        <v>23</v>
      </c>
      <c r="C616" s="5" t="s">
        <v>200</v>
      </c>
    </row>
    <row r="617" spans="3:16" ht="13.5" customHeight="1">
      <c r="C617" s="4" t="s">
        <v>3</v>
      </c>
      <c r="D617" s="48">
        <v>439.58</v>
      </c>
      <c r="E617" s="48">
        <v>439.58</v>
      </c>
      <c r="F617" s="48">
        <v>439.58</v>
      </c>
      <c r="G617" s="48">
        <v>439.58</v>
      </c>
      <c r="H617" s="48">
        <v>429.17</v>
      </c>
      <c r="I617" s="48">
        <v>429.17</v>
      </c>
      <c r="J617" s="48">
        <v>429.17</v>
      </c>
      <c r="K617" s="48">
        <v>429.17</v>
      </c>
      <c r="L617" s="48">
        <v>429.17</v>
      </c>
      <c r="M617" s="48">
        <v>429.17</v>
      </c>
      <c r="N617" s="48">
        <v>429.17</v>
      </c>
      <c r="O617" s="50">
        <v>429.17</v>
      </c>
      <c r="P617" s="21">
        <f>SUM(D617:O617)</f>
        <v>5191.68</v>
      </c>
    </row>
    <row r="618" spans="3:16" ht="13.5" customHeight="1">
      <c r="C618" s="4" t="s">
        <v>4</v>
      </c>
      <c r="D618" s="48">
        <v>250</v>
      </c>
      <c r="P618" s="21">
        <f>SUM(D618:O618)</f>
        <v>250</v>
      </c>
    </row>
    <row r="619" spans="3:16" ht="13.5" customHeight="1" thickBot="1">
      <c r="C619" s="4" t="s">
        <v>5</v>
      </c>
      <c r="D619" s="48">
        <f>10416.67+17927.08</f>
        <v>28343.75</v>
      </c>
      <c r="E619" s="48">
        <f>10833.33+17510.42</f>
        <v>28343.75</v>
      </c>
      <c r="F619" s="48">
        <f aca="true" t="shared" si="49" ref="F619:O619">10833.33+17510.42</f>
        <v>28343.75</v>
      </c>
      <c r="G619" s="48">
        <f t="shared" si="49"/>
        <v>28343.75</v>
      </c>
      <c r="H619" s="48">
        <f t="shared" si="49"/>
        <v>28343.75</v>
      </c>
      <c r="I619" s="48">
        <f t="shared" si="49"/>
        <v>28343.75</v>
      </c>
      <c r="J619" s="48">
        <f t="shared" si="49"/>
        <v>28343.75</v>
      </c>
      <c r="K619" s="48">
        <f t="shared" si="49"/>
        <v>28343.75</v>
      </c>
      <c r="L619" s="48">
        <f t="shared" si="49"/>
        <v>28343.75</v>
      </c>
      <c r="M619" s="48">
        <f t="shared" si="49"/>
        <v>28343.75</v>
      </c>
      <c r="N619" s="48">
        <f t="shared" si="49"/>
        <v>28343.75</v>
      </c>
      <c r="O619" s="50">
        <f t="shared" si="49"/>
        <v>28343.75</v>
      </c>
      <c r="P619" s="21">
        <f>SUM(D619:O619)</f>
        <v>340125</v>
      </c>
    </row>
    <row r="620" spans="3:16" ht="13.5" customHeight="1" thickBot="1">
      <c r="C620" s="6" t="s">
        <v>201</v>
      </c>
      <c r="D620" s="22">
        <f aca="true" t="shared" si="50" ref="D620:O620">SUM(D617:D619)</f>
        <v>29033.33</v>
      </c>
      <c r="E620" s="22">
        <f t="shared" si="50"/>
        <v>28783.33</v>
      </c>
      <c r="F620" s="22">
        <f t="shared" si="50"/>
        <v>28783.33</v>
      </c>
      <c r="G620" s="22">
        <f t="shared" si="50"/>
        <v>28783.33</v>
      </c>
      <c r="H620" s="22">
        <f t="shared" si="50"/>
        <v>28772.92</v>
      </c>
      <c r="I620" s="22">
        <f t="shared" si="50"/>
        <v>28772.92</v>
      </c>
      <c r="J620" s="22">
        <f t="shared" si="50"/>
        <v>28772.92</v>
      </c>
      <c r="K620" s="22">
        <f t="shared" si="50"/>
        <v>28772.92</v>
      </c>
      <c r="L620" s="22">
        <f t="shared" si="50"/>
        <v>28772.92</v>
      </c>
      <c r="M620" s="22">
        <f t="shared" si="50"/>
        <v>28772.92</v>
      </c>
      <c r="N620" s="22">
        <f t="shared" si="50"/>
        <v>28772.92</v>
      </c>
      <c r="O620" s="30">
        <f t="shared" si="50"/>
        <v>28772.92</v>
      </c>
      <c r="P620" s="22">
        <f>SUM(P617:P619)</f>
        <v>345566.68</v>
      </c>
    </row>
    <row r="621" ht="13.5" customHeight="1">
      <c r="C621" s="10"/>
    </row>
    <row r="622" spans="1:3" ht="13.5" customHeight="1">
      <c r="A622" s="14">
        <f>+A616+1</f>
        <v>24</v>
      </c>
      <c r="C622" s="5" t="s">
        <v>202</v>
      </c>
    </row>
    <row r="623" spans="3:16" ht="13.5" customHeight="1">
      <c r="C623" s="4" t="s">
        <v>3</v>
      </c>
      <c r="D623" s="21">
        <v>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9">
        <v>0</v>
      </c>
      <c r="P623" s="21">
        <f>SUM(D623:O623)</f>
        <v>0</v>
      </c>
    </row>
    <row r="624" spans="3:16" ht="13.5" customHeight="1">
      <c r="C624" s="4" t="s">
        <v>4</v>
      </c>
      <c r="D624" s="48">
        <v>250</v>
      </c>
      <c r="P624" s="21">
        <f>SUM(D624:O624)</f>
        <v>250</v>
      </c>
    </row>
    <row r="625" spans="3:16" ht="13.5" customHeight="1" thickBot="1">
      <c r="C625" s="4" t="s">
        <v>5</v>
      </c>
      <c r="D625" s="48">
        <f>42500+57094.15</f>
        <v>99594.15</v>
      </c>
      <c r="E625" s="48">
        <f>42500+57094.15</f>
        <v>99594.15</v>
      </c>
      <c r="F625" s="48">
        <f>42500+57094.15</f>
        <v>99594.15</v>
      </c>
      <c r="G625" s="48">
        <f>42500+57094.13</f>
        <v>99594.13</v>
      </c>
      <c r="H625" s="48">
        <f>44166.67+55500.82</f>
        <v>99667.48999999999</v>
      </c>
      <c r="I625" s="48">
        <f aca="true" t="shared" si="51" ref="I625:O625">44166.67+55500.82</f>
        <v>99667.48999999999</v>
      </c>
      <c r="J625" s="48">
        <f t="shared" si="51"/>
        <v>99667.48999999999</v>
      </c>
      <c r="K625" s="48">
        <f t="shared" si="51"/>
        <v>99667.48999999999</v>
      </c>
      <c r="L625" s="48">
        <f t="shared" si="51"/>
        <v>99667.48999999999</v>
      </c>
      <c r="M625" s="48">
        <f>44166.67+55500.83</f>
        <v>99667.5</v>
      </c>
      <c r="N625" s="48">
        <f t="shared" si="51"/>
        <v>99667.48999999999</v>
      </c>
      <c r="O625" s="50">
        <f t="shared" si="51"/>
        <v>99667.48999999999</v>
      </c>
      <c r="P625" s="21">
        <f>SUM(D625:O625)</f>
        <v>1195716.51</v>
      </c>
    </row>
    <row r="626" spans="3:16" ht="13.5" customHeight="1" thickBot="1">
      <c r="C626" s="6" t="s">
        <v>155</v>
      </c>
      <c r="D626" s="22">
        <f aca="true" t="shared" si="52" ref="D626:O626">SUM(D623:D625)</f>
        <v>99844.15</v>
      </c>
      <c r="E626" s="22">
        <f t="shared" si="52"/>
        <v>99594.15</v>
      </c>
      <c r="F626" s="22">
        <f t="shared" si="52"/>
        <v>99594.15</v>
      </c>
      <c r="G626" s="22">
        <f t="shared" si="52"/>
        <v>99594.13</v>
      </c>
      <c r="H626" s="22">
        <f t="shared" si="52"/>
        <v>99667.48999999999</v>
      </c>
      <c r="I626" s="22">
        <f t="shared" si="52"/>
        <v>99667.48999999999</v>
      </c>
      <c r="J626" s="22">
        <f t="shared" si="52"/>
        <v>99667.48999999999</v>
      </c>
      <c r="K626" s="22">
        <f t="shared" si="52"/>
        <v>99667.48999999999</v>
      </c>
      <c r="L626" s="22">
        <f t="shared" si="52"/>
        <v>99667.48999999999</v>
      </c>
      <c r="M626" s="22">
        <f t="shared" si="52"/>
        <v>99667.5</v>
      </c>
      <c r="N626" s="22">
        <f t="shared" si="52"/>
        <v>99667.48999999999</v>
      </c>
      <c r="O626" s="30">
        <f t="shared" si="52"/>
        <v>99667.48999999999</v>
      </c>
      <c r="P626" s="22">
        <f>SUM(P623:P625)</f>
        <v>1195966.51</v>
      </c>
    </row>
    <row r="627" ht="13.5" customHeight="1">
      <c r="C627" s="10"/>
    </row>
    <row r="628" spans="1:3" ht="13.5" customHeight="1">
      <c r="A628" s="14">
        <f>+A622+1</f>
        <v>25</v>
      </c>
      <c r="C628" s="5" t="s">
        <v>203</v>
      </c>
    </row>
    <row r="629" spans="3:16" ht="13.5" customHeight="1">
      <c r="C629" s="4" t="s">
        <v>3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9">
        <v>0</v>
      </c>
      <c r="P629" s="21">
        <f>SUM(D629:O629)</f>
        <v>0</v>
      </c>
    </row>
    <row r="630" spans="3:16" ht="13.5" customHeight="1">
      <c r="C630" s="4" t="s">
        <v>4</v>
      </c>
      <c r="D630" s="48">
        <v>250</v>
      </c>
      <c r="P630" s="21">
        <f>SUM(D630:O630)</f>
        <v>250</v>
      </c>
    </row>
    <row r="631" spans="3:16" ht="13.5" customHeight="1" thickBot="1">
      <c r="C631" s="4" t="s">
        <v>5</v>
      </c>
      <c r="D631" s="48">
        <v>73784.9</v>
      </c>
      <c r="E631" s="48">
        <v>73784.9</v>
      </c>
      <c r="F631" s="48">
        <v>73784.9</v>
      </c>
      <c r="G631" s="48">
        <v>73784.9</v>
      </c>
      <c r="H631" s="48">
        <v>73884.9</v>
      </c>
      <c r="I631" s="48">
        <v>73884.9</v>
      </c>
      <c r="J631" s="48">
        <v>73884.9</v>
      </c>
      <c r="K631" s="48">
        <v>73884.9</v>
      </c>
      <c r="L631" s="48">
        <v>73884.9</v>
      </c>
      <c r="M631" s="48">
        <v>73884.9</v>
      </c>
      <c r="N631" s="48">
        <v>73884.9</v>
      </c>
      <c r="O631" s="50">
        <v>73884.9</v>
      </c>
      <c r="P631" s="21">
        <f>SUM(D631:O631)</f>
        <v>886218.8000000002</v>
      </c>
    </row>
    <row r="632" spans="3:16" ht="13.5" customHeight="1" thickBot="1">
      <c r="C632" s="6" t="s">
        <v>158</v>
      </c>
      <c r="D632" s="22">
        <f aca="true" t="shared" si="53" ref="D632:O632">SUM(D629:D631)</f>
        <v>74034.9</v>
      </c>
      <c r="E632" s="22">
        <f t="shared" si="53"/>
        <v>73784.9</v>
      </c>
      <c r="F632" s="22">
        <f t="shared" si="53"/>
        <v>73784.9</v>
      </c>
      <c r="G632" s="22">
        <f t="shared" si="53"/>
        <v>73784.9</v>
      </c>
      <c r="H632" s="22">
        <f t="shared" si="53"/>
        <v>73884.9</v>
      </c>
      <c r="I632" s="22">
        <f t="shared" si="53"/>
        <v>73884.9</v>
      </c>
      <c r="J632" s="22">
        <f t="shared" si="53"/>
        <v>73884.9</v>
      </c>
      <c r="K632" s="22">
        <f t="shared" si="53"/>
        <v>73884.9</v>
      </c>
      <c r="L632" s="22">
        <f t="shared" si="53"/>
        <v>73884.9</v>
      </c>
      <c r="M632" s="22">
        <f t="shared" si="53"/>
        <v>73884.9</v>
      </c>
      <c r="N632" s="22">
        <f t="shared" si="53"/>
        <v>73884.9</v>
      </c>
      <c r="O632" s="30">
        <f t="shared" si="53"/>
        <v>73884.9</v>
      </c>
      <c r="P632" s="22">
        <f>SUM(P629:P631)</f>
        <v>886468.8000000002</v>
      </c>
    </row>
    <row r="633" ht="13.5" customHeight="1">
      <c r="C633" s="10"/>
    </row>
    <row r="634" spans="1:3" ht="13.5" customHeight="1">
      <c r="A634" s="14">
        <f>+A628+1</f>
        <v>26</v>
      </c>
      <c r="C634" s="5" t="s">
        <v>204</v>
      </c>
    </row>
    <row r="635" spans="3:16" ht="13.5" customHeight="1">
      <c r="C635" s="4" t="s">
        <v>3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9">
        <v>0</v>
      </c>
      <c r="P635" s="21">
        <f>SUM(D635:O635)</f>
        <v>0</v>
      </c>
    </row>
    <row r="636" spans="3:16" ht="13.5" customHeight="1">
      <c r="C636" s="4" t="s">
        <v>4</v>
      </c>
      <c r="D636" s="48">
        <v>250</v>
      </c>
      <c r="P636" s="21">
        <f>SUM(D636:O636)</f>
        <v>250</v>
      </c>
    </row>
    <row r="637" spans="3:16" ht="13.5" customHeight="1" thickBot="1">
      <c r="C637" s="4" t="s">
        <v>5</v>
      </c>
      <c r="D637" s="48">
        <f>9583.33+33857.38</f>
        <v>43440.71</v>
      </c>
      <c r="E637" s="48">
        <f>9583.33+33857.38</f>
        <v>43440.71</v>
      </c>
      <c r="F637" s="48">
        <f>9583.33+33857.38</f>
        <v>43440.71</v>
      </c>
      <c r="G637" s="48">
        <f>9583.33+33857.38</f>
        <v>43440.71</v>
      </c>
      <c r="H637" s="48">
        <f>9583.37+33857.35</f>
        <v>43440.72</v>
      </c>
      <c r="I637" s="48">
        <f>10416.67+33333.17</f>
        <v>43749.84</v>
      </c>
      <c r="J637" s="48">
        <f aca="true" t="shared" si="54" ref="J637:O637">10416.67+33333.17</f>
        <v>43749.84</v>
      </c>
      <c r="K637" s="48">
        <f t="shared" si="54"/>
        <v>43749.84</v>
      </c>
      <c r="L637" s="48">
        <f t="shared" si="54"/>
        <v>43749.84</v>
      </c>
      <c r="M637" s="48">
        <f t="shared" si="54"/>
        <v>43749.84</v>
      </c>
      <c r="N637" s="48">
        <f>10416.67+33333.15</f>
        <v>43749.82</v>
      </c>
      <c r="O637" s="50">
        <f t="shared" si="54"/>
        <v>43749.84</v>
      </c>
      <c r="P637" s="21">
        <f>SUM(D637:O637)</f>
        <v>523452.4199999999</v>
      </c>
    </row>
    <row r="638" spans="3:16" ht="13.5" customHeight="1" thickBot="1">
      <c r="C638" s="6" t="s">
        <v>146</v>
      </c>
      <c r="D638" s="22">
        <f aca="true" t="shared" si="55" ref="D638:O638">SUM(D635:D637)</f>
        <v>43690.71</v>
      </c>
      <c r="E638" s="22">
        <f t="shared" si="55"/>
        <v>43440.71</v>
      </c>
      <c r="F638" s="22">
        <f t="shared" si="55"/>
        <v>43440.71</v>
      </c>
      <c r="G638" s="22">
        <f t="shared" si="55"/>
        <v>43440.71</v>
      </c>
      <c r="H638" s="22">
        <f t="shared" si="55"/>
        <v>43440.72</v>
      </c>
      <c r="I638" s="22">
        <f t="shared" si="55"/>
        <v>43749.84</v>
      </c>
      <c r="J638" s="22">
        <f t="shared" si="55"/>
        <v>43749.84</v>
      </c>
      <c r="K638" s="22">
        <f t="shared" si="55"/>
        <v>43749.84</v>
      </c>
      <c r="L638" s="22">
        <f t="shared" si="55"/>
        <v>43749.84</v>
      </c>
      <c r="M638" s="22">
        <f t="shared" si="55"/>
        <v>43749.84</v>
      </c>
      <c r="N638" s="22">
        <f t="shared" si="55"/>
        <v>43749.82</v>
      </c>
      <c r="O638" s="30">
        <f t="shared" si="55"/>
        <v>43749.84</v>
      </c>
      <c r="P638" s="22">
        <f>SUM(P635:P637)</f>
        <v>523702.4199999999</v>
      </c>
    </row>
    <row r="639" ht="13.5" customHeight="1">
      <c r="C639" s="10"/>
    </row>
    <row r="640" spans="1:3" ht="13.5" customHeight="1">
      <c r="A640" s="14">
        <f>+A634+1</f>
        <v>27</v>
      </c>
      <c r="C640" s="5" t="s">
        <v>351</v>
      </c>
    </row>
    <row r="641" spans="3:16" ht="13.5" customHeight="1">
      <c r="C641" s="4" t="s">
        <v>3</v>
      </c>
      <c r="D641" s="48">
        <v>1042.5</v>
      </c>
      <c r="E641" s="48">
        <v>1042.5</v>
      </c>
      <c r="F641" s="48">
        <v>1042.5</v>
      </c>
      <c r="G641" s="48">
        <v>1042.5</v>
      </c>
      <c r="H641" s="48">
        <v>1042.5</v>
      </c>
      <c r="I641" s="48">
        <v>1042.5</v>
      </c>
      <c r="J641" s="48">
        <v>1007.92</v>
      </c>
      <c r="K641" s="48">
        <v>1007.92</v>
      </c>
      <c r="L641" s="48">
        <v>1007.92</v>
      </c>
      <c r="M641" s="48">
        <v>1007.92</v>
      </c>
      <c r="N641" s="48">
        <v>1007.92</v>
      </c>
      <c r="O641" s="50">
        <v>1007.92</v>
      </c>
      <c r="P641" s="21">
        <f>SUM(D641:O641)</f>
        <v>12302.52</v>
      </c>
    </row>
    <row r="642" spans="3:16" ht="13.5" customHeight="1">
      <c r="C642" s="4" t="s">
        <v>4</v>
      </c>
      <c r="D642" s="48">
        <v>250</v>
      </c>
      <c r="P642" s="21">
        <f>SUM(D642:O642)</f>
        <v>250</v>
      </c>
    </row>
    <row r="643" spans="3:16" ht="13.5" customHeight="1" thickBot="1">
      <c r="C643" s="4" t="s">
        <v>5</v>
      </c>
      <c r="D643" s="48">
        <f>34583.33+42744.79</f>
        <v>77328.12</v>
      </c>
      <c r="E643" s="48">
        <f>34583.33+42744.79</f>
        <v>77328.12</v>
      </c>
      <c r="F643" s="48">
        <f>34583.37+42744.8</f>
        <v>77328.17000000001</v>
      </c>
      <c r="G643" s="48">
        <f>36250+41361.46</f>
        <v>77611.45999999999</v>
      </c>
      <c r="H643" s="48">
        <f aca="true" t="shared" si="56" ref="H643:O643">36250+41361.46</f>
        <v>77611.45999999999</v>
      </c>
      <c r="I643" s="48">
        <f t="shared" si="56"/>
        <v>77611.45999999999</v>
      </c>
      <c r="J643" s="48">
        <f t="shared" si="56"/>
        <v>77611.45999999999</v>
      </c>
      <c r="K643" s="48">
        <f t="shared" si="56"/>
        <v>77611.45999999999</v>
      </c>
      <c r="L643" s="48">
        <f>36250+41361.45</f>
        <v>77611.45</v>
      </c>
      <c r="M643" s="48">
        <f t="shared" si="56"/>
        <v>77611.45999999999</v>
      </c>
      <c r="N643" s="48">
        <f t="shared" si="56"/>
        <v>77611.45999999999</v>
      </c>
      <c r="O643" s="50">
        <f t="shared" si="56"/>
        <v>77611.45999999999</v>
      </c>
      <c r="P643" s="21">
        <f>SUM(D643:O643)</f>
        <v>930487.5399999997</v>
      </c>
    </row>
    <row r="644" spans="3:16" ht="13.5" customHeight="1" thickBot="1">
      <c r="C644" s="6" t="s">
        <v>95</v>
      </c>
      <c r="D644" s="22">
        <f aca="true" t="shared" si="57" ref="D644:O644">SUM(D641:D643)</f>
        <v>78620.62</v>
      </c>
      <c r="E644" s="22">
        <f t="shared" si="57"/>
        <v>78370.62</v>
      </c>
      <c r="F644" s="22">
        <f t="shared" si="57"/>
        <v>78370.67000000001</v>
      </c>
      <c r="G644" s="22">
        <f t="shared" si="57"/>
        <v>78653.95999999999</v>
      </c>
      <c r="H644" s="22">
        <f t="shared" si="57"/>
        <v>78653.95999999999</v>
      </c>
      <c r="I644" s="22">
        <f t="shared" si="57"/>
        <v>78653.95999999999</v>
      </c>
      <c r="J644" s="22">
        <f t="shared" si="57"/>
        <v>78619.37999999999</v>
      </c>
      <c r="K644" s="22">
        <f t="shared" si="57"/>
        <v>78619.37999999999</v>
      </c>
      <c r="L644" s="22">
        <f t="shared" si="57"/>
        <v>78619.37</v>
      </c>
      <c r="M644" s="22">
        <f t="shared" si="57"/>
        <v>78619.37999999999</v>
      </c>
      <c r="N644" s="22">
        <f t="shared" si="57"/>
        <v>78619.37999999999</v>
      </c>
      <c r="O644" s="30">
        <f t="shared" si="57"/>
        <v>78619.37999999999</v>
      </c>
      <c r="P644" s="22">
        <f>SUM(P641:P643)</f>
        <v>943040.0599999997</v>
      </c>
    </row>
    <row r="645" ht="13.5" customHeight="1">
      <c r="C645" s="10"/>
    </row>
    <row r="646" spans="1:3" ht="13.5" customHeight="1">
      <c r="A646" s="14">
        <f>+A640+1</f>
        <v>28</v>
      </c>
      <c r="C646" s="5" t="s">
        <v>207</v>
      </c>
    </row>
    <row r="647" spans="3:16" ht="13.5" customHeight="1">
      <c r="C647" s="4" t="s">
        <v>3</v>
      </c>
      <c r="D647" s="48">
        <v>985</v>
      </c>
      <c r="E647" s="48">
        <v>985</v>
      </c>
      <c r="F647" s="48">
        <v>985</v>
      </c>
      <c r="G647" s="48">
        <v>985</v>
      </c>
      <c r="H647" s="48">
        <v>985</v>
      </c>
      <c r="I647" s="48">
        <v>985</v>
      </c>
      <c r="J647" s="48">
        <v>985</v>
      </c>
      <c r="K647" s="48">
        <v>950.83</v>
      </c>
      <c r="L647" s="48">
        <v>950.83</v>
      </c>
      <c r="M647" s="48">
        <v>950.83</v>
      </c>
      <c r="N647" s="48">
        <v>950.83</v>
      </c>
      <c r="O647" s="50">
        <v>950.83</v>
      </c>
      <c r="P647" s="21">
        <f>SUM(D647:O647)</f>
        <v>11649.15</v>
      </c>
    </row>
    <row r="648" spans="3:16" ht="13.5" customHeight="1">
      <c r="C648" s="4" t="s">
        <v>4</v>
      </c>
      <c r="D648" s="48">
        <v>250</v>
      </c>
      <c r="P648" s="21">
        <f>SUM(D648:O648)</f>
        <v>250</v>
      </c>
    </row>
    <row r="649" spans="3:16" ht="13.5" customHeight="1" thickBot="1">
      <c r="C649" s="4" t="s">
        <v>5</v>
      </c>
      <c r="D649" s="48">
        <f>37916.67+51189.58</f>
        <v>89106.25</v>
      </c>
      <c r="E649" s="48">
        <f>37916.67+51189.58</f>
        <v>89106.25</v>
      </c>
      <c r="F649" s="48">
        <f>37916.67+51189.58</f>
        <v>89106.25</v>
      </c>
      <c r="G649" s="48">
        <f>37916.67+51189.58</f>
        <v>89106.25</v>
      </c>
      <c r="H649" s="48">
        <f>37916.63+51189.6</f>
        <v>89106.23</v>
      </c>
      <c r="I649" s="48">
        <f>39166.67+50042.71</f>
        <v>89209.38</v>
      </c>
      <c r="J649" s="48">
        <f aca="true" t="shared" si="58" ref="J649:O649">39166.67+50042.71</f>
        <v>89209.38</v>
      </c>
      <c r="K649" s="48">
        <f t="shared" si="58"/>
        <v>89209.38</v>
      </c>
      <c r="L649" s="48">
        <f t="shared" si="58"/>
        <v>89209.38</v>
      </c>
      <c r="M649" s="48">
        <f t="shared" si="58"/>
        <v>89209.38</v>
      </c>
      <c r="N649" s="48">
        <f>39166.67+50042.7</f>
        <v>89209.37</v>
      </c>
      <c r="O649" s="50">
        <f t="shared" si="58"/>
        <v>89209.38</v>
      </c>
      <c r="P649" s="21">
        <f>SUM(D649:O649)</f>
        <v>1069996.88</v>
      </c>
    </row>
    <row r="650" spans="3:16" ht="13.5" customHeight="1" thickBot="1">
      <c r="C650" s="6" t="s">
        <v>206</v>
      </c>
      <c r="D650" s="22">
        <f aca="true" t="shared" si="59" ref="D650:O650">SUM(D647:D649)</f>
        <v>90341.25</v>
      </c>
      <c r="E650" s="22">
        <f t="shared" si="59"/>
        <v>90091.25</v>
      </c>
      <c r="F650" s="22">
        <f t="shared" si="59"/>
        <v>90091.25</v>
      </c>
      <c r="G650" s="22">
        <f t="shared" si="59"/>
        <v>90091.25</v>
      </c>
      <c r="H650" s="22">
        <f t="shared" si="59"/>
        <v>90091.23</v>
      </c>
      <c r="I650" s="22">
        <f t="shared" si="59"/>
        <v>90194.38</v>
      </c>
      <c r="J650" s="22">
        <f t="shared" si="59"/>
        <v>90194.38</v>
      </c>
      <c r="K650" s="22">
        <f t="shared" si="59"/>
        <v>90160.21</v>
      </c>
      <c r="L650" s="22">
        <f t="shared" si="59"/>
        <v>90160.21</v>
      </c>
      <c r="M650" s="22">
        <f t="shared" si="59"/>
        <v>90160.21</v>
      </c>
      <c r="N650" s="22">
        <f t="shared" si="59"/>
        <v>90160.2</v>
      </c>
      <c r="O650" s="30">
        <f t="shared" si="59"/>
        <v>90160.21</v>
      </c>
      <c r="P650" s="22">
        <f>SUM(P647:P649)</f>
        <v>1081896.0299999998</v>
      </c>
    </row>
    <row r="651" ht="13.5" customHeight="1">
      <c r="C651" s="10"/>
    </row>
    <row r="652" spans="1:3" ht="13.5" customHeight="1">
      <c r="A652" s="14">
        <f>+A646+1</f>
        <v>29</v>
      </c>
      <c r="C652" s="5" t="s">
        <v>208</v>
      </c>
    </row>
    <row r="653" spans="3:16" ht="13.5" customHeight="1">
      <c r="C653" s="4" t="s">
        <v>3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9">
        <v>0</v>
      </c>
      <c r="P653" s="21">
        <f>SUM(D653:O653)</f>
        <v>0</v>
      </c>
    </row>
    <row r="654" spans="3:16" ht="13.5" customHeight="1">
      <c r="C654" s="4" t="s">
        <v>4</v>
      </c>
      <c r="D654" s="48">
        <v>250</v>
      </c>
      <c r="P654" s="21">
        <f>SUM(D654:O654)</f>
        <v>250</v>
      </c>
    </row>
    <row r="655" spans="3:16" ht="13.5" customHeight="1" thickBot="1">
      <c r="C655" s="4" t="s">
        <v>5</v>
      </c>
      <c r="D655" s="48">
        <f>47500+111183.33</f>
        <v>158683.33000000002</v>
      </c>
      <c r="E655" s="48">
        <f>47500+111183.33</f>
        <v>158683.33000000002</v>
      </c>
      <c r="F655" s="48">
        <f>47500+111183.33</f>
        <v>158683.33000000002</v>
      </c>
      <c r="G655" s="48">
        <f>47500+111183.33</f>
        <v>158683.33000000002</v>
      </c>
      <c r="H655" s="48">
        <f>47500+111183.35</f>
        <v>158683.35</v>
      </c>
      <c r="I655" s="48">
        <f>48750+109283.33</f>
        <v>158033.33000000002</v>
      </c>
      <c r="J655" s="48">
        <f aca="true" t="shared" si="60" ref="J655:O655">48750+109283.33</f>
        <v>158033.33000000002</v>
      </c>
      <c r="K655" s="48">
        <f t="shared" si="60"/>
        <v>158033.33000000002</v>
      </c>
      <c r="L655" s="48">
        <f t="shared" si="60"/>
        <v>158033.33000000002</v>
      </c>
      <c r="M655" s="48">
        <f t="shared" si="60"/>
        <v>158033.33000000002</v>
      </c>
      <c r="N655" s="48">
        <f>48750+109283.35</f>
        <v>158033.35</v>
      </c>
      <c r="O655" s="50">
        <f t="shared" si="60"/>
        <v>158033.33000000002</v>
      </c>
      <c r="P655" s="21">
        <f>SUM(D655:O655)</f>
        <v>1899650.0000000005</v>
      </c>
    </row>
    <row r="656" spans="3:16" ht="13.5" customHeight="1" thickBot="1">
      <c r="C656" s="6" t="s">
        <v>209</v>
      </c>
      <c r="D656" s="22">
        <f aca="true" t="shared" si="61" ref="D656:O656">SUM(D653:D655)</f>
        <v>158933.33000000002</v>
      </c>
      <c r="E656" s="22">
        <f t="shared" si="61"/>
        <v>158683.33000000002</v>
      </c>
      <c r="F656" s="22">
        <f t="shared" si="61"/>
        <v>158683.33000000002</v>
      </c>
      <c r="G656" s="22">
        <f t="shared" si="61"/>
        <v>158683.33000000002</v>
      </c>
      <c r="H656" s="22">
        <f t="shared" si="61"/>
        <v>158683.35</v>
      </c>
      <c r="I656" s="22">
        <f t="shared" si="61"/>
        <v>158033.33000000002</v>
      </c>
      <c r="J656" s="22">
        <f t="shared" si="61"/>
        <v>158033.33000000002</v>
      </c>
      <c r="K656" s="22">
        <f t="shared" si="61"/>
        <v>158033.33000000002</v>
      </c>
      <c r="L656" s="22">
        <f t="shared" si="61"/>
        <v>158033.33000000002</v>
      </c>
      <c r="M656" s="22">
        <f t="shared" si="61"/>
        <v>158033.33000000002</v>
      </c>
      <c r="N656" s="22">
        <f t="shared" si="61"/>
        <v>158033.35</v>
      </c>
      <c r="O656" s="30">
        <f t="shared" si="61"/>
        <v>158033.33000000002</v>
      </c>
      <c r="P656" s="22">
        <f>SUM(P653:P655)</f>
        <v>1899900.0000000005</v>
      </c>
    </row>
    <row r="657" ht="13.5" customHeight="1">
      <c r="C657" s="10"/>
    </row>
    <row r="658" spans="1:3" ht="13.5" customHeight="1">
      <c r="A658" s="14">
        <f>+A652+1</f>
        <v>30</v>
      </c>
      <c r="C658" s="5" t="s">
        <v>210</v>
      </c>
    </row>
    <row r="659" spans="3:16" ht="13.5" customHeight="1">
      <c r="C659" s="4" t="s">
        <v>3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9">
        <v>0</v>
      </c>
      <c r="P659" s="21">
        <f>SUM(D659:O659)</f>
        <v>0</v>
      </c>
    </row>
    <row r="660" spans="3:16" ht="13.5" customHeight="1">
      <c r="C660" s="4" t="s">
        <v>4</v>
      </c>
      <c r="D660" s="48">
        <v>250</v>
      </c>
      <c r="P660" s="21">
        <f>SUM(D660:O660)</f>
        <v>250</v>
      </c>
    </row>
    <row r="661" spans="3:16" ht="13.5" customHeight="1" thickBot="1">
      <c r="C661" s="4" t="s">
        <v>5</v>
      </c>
      <c r="D661" s="48">
        <f aca="true" t="shared" si="62" ref="D661:L661">19583.33+47613.02</f>
        <v>67196.35</v>
      </c>
      <c r="E661" s="48">
        <f t="shared" si="62"/>
        <v>67196.35</v>
      </c>
      <c r="F661" s="48">
        <f t="shared" si="62"/>
        <v>67196.35</v>
      </c>
      <c r="G661" s="48">
        <f t="shared" si="62"/>
        <v>67196.35</v>
      </c>
      <c r="H661" s="48">
        <f t="shared" si="62"/>
        <v>67196.35</v>
      </c>
      <c r="I661" s="48">
        <f t="shared" si="62"/>
        <v>67196.35</v>
      </c>
      <c r="J661" s="48">
        <f t="shared" si="62"/>
        <v>67196.35</v>
      </c>
      <c r="K661" s="48">
        <f t="shared" si="62"/>
        <v>67196.35</v>
      </c>
      <c r="L661" s="48">
        <f t="shared" si="62"/>
        <v>67196.35</v>
      </c>
      <c r="M661" s="48">
        <f>20416.67+46731.77</f>
        <v>67148.44</v>
      </c>
      <c r="N661" s="48">
        <f>20416.67+46731.77</f>
        <v>67148.44</v>
      </c>
      <c r="O661" s="50">
        <f>20416.67+46731.77</f>
        <v>67148.44</v>
      </c>
      <c r="P661" s="21">
        <f>SUM(D661:O661)</f>
        <v>806212.4699999997</v>
      </c>
    </row>
    <row r="662" spans="3:16" ht="13.5" customHeight="1" thickBot="1">
      <c r="C662" s="6" t="s">
        <v>211</v>
      </c>
      <c r="D662" s="22">
        <f aca="true" t="shared" si="63" ref="D662:O662">SUM(D659:D661)</f>
        <v>67446.35</v>
      </c>
      <c r="E662" s="22">
        <f t="shared" si="63"/>
        <v>67196.35</v>
      </c>
      <c r="F662" s="22">
        <f t="shared" si="63"/>
        <v>67196.35</v>
      </c>
      <c r="G662" s="22">
        <f t="shared" si="63"/>
        <v>67196.35</v>
      </c>
      <c r="H662" s="22">
        <f t="shared" si="63"/>
        <v>67196.35</v>
      </c>
      <c r="I662" s="22">
        <f t="shared" si="63"/>
        <v>67196.35</v>
      </c>
      <c r="J662" s="22">
        <f t="shared" si="63"/>
        <v>67196.35</v>
      </c>
      <c r="K662" s="22">
        <f t="shared" si="63"/>
        <v>67196.35</v>
      </c>
      <c r="L662" s="22">
        <f t="shared" si="63"/>
        <v>67196.35</v>
      </c>
      <c r="M662" s="22">
        <f t="shared" si="63"/>
        <v>67148.44</v>
      </c>
      <c r="N662" s="22">
        <f t="shared" si="63"/>
        <v>67148.44</v>
      </c>
      <c r="O662" s="30">
        <f t="shared" si="63"/>
        <v>67148.44</v>
      </c>
      <c r="P662" s="22">
        <f>SUM(P659:P661)</f>
        <v>806462.4699999997</v>
      </c>
    </row>
    <row r="663" ht="13.5" customHeight="1">
      <c r="C663" s="10"/>
    </row>
    <row r="664" spans="1:3" ht="13.5" customHeight="1">
      <c r="A664" s="14"/>
      <c r="B664" s="37" t="s">
        <v>104</v>
      </c>
      <c r="C664" s="25" t="s">
        <v>212</v>
      </c>
    </row>
    <row r="665" ht="13.5" customHeight="1">
      <c r="C665" s="4" t="s">
        <v>3</v>
      </c>
    </row>
    <row r="666" ht="13.5" customHeight="1">
      <c r="C666" s="4" t="s">
        <v>4</v>
      </c>
    </row>
    <row r="667" ht="13.5" customHeight="1" thickBot="1">
      <c r="C667" s="4" t="s">
        <v>5</v>
      </c>
    </row>
    <row r="668" ht="13.5" customHeight="1" thickBot="1">
      <c r="C668" s="6" t="s">
        <v>52</v>
      </c>
    </row>
    <row r="669" ht="13.5" customHeight="1">
      <c r="C669" s="10"/>
    </row>
    <row r="670" spans="1:3" ht="13.5" customHeight="1">
      <c r="A670" s="14">
        <f>+A658+1</f>
        <v>31</v>
      </c>
      <c r="C670" s="5" t="s">
        <v>213</v>
      </c>
    </row>
    <row r="671" spans="3:16" ht="13.5" customHeight="1">
      <c r="C671" s="4" t="s">
        <v>3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9">
        <v>0</v>
      </c>
      <c r="P671" s="21">
        <f>SUM(D671:O671)</f>
        <v>0</v>
      </c>
    </row>
    <row r="672" spans="3:16" ht="13.5" customHeight="1">
      <c r="C672" s="4" t="s">
        <v>4</v>
      </c>
      <c r="D672" s="48">
        <v>250</v>
      </c>
      <c r="P672" s="21">
        <f>SUM(D672:O672)</f>
        <v>250</v>
      </c>
    </row>
    <row r="673" spans="3:16" ht="13.5" customHeight="1" thickBot="1">
      <c r="C673" s="4" t="s">
        <v>5</v>
      </c>
      <c r="D673" s="48">
        <f aca="true" t="shared" si="64" ref="D673:N673">17916.67+43741.67</f>
        <v>61658.34</v>
      </c>
      <c r="E673" s="48">
        <f t="shared" si="64"/>
        <v>61658.34</v>
      </c>
      <c r="F673" s="48">
        <f t="shared" si="64"/>
        <v>61658.34</v>
      </c>
      <c r="G673" s="48">
        <f t="shared" si="64"/>
        <v>61658.34</v>
      </c>
      <c r="H673" s="48">
        <f t="shared" si="64"/>
        <v>61658.34</v>
      </c>
      <c r="I673" s="48">
        <f t="shared" si="64"/>
        <v>61658.34</v>
      </c>
      <c r="J673" s="48">
        <f t="shared" si="64"/>
        <v>61658.34</v>
      </c>
      <c r="K673" s="48">
        <f t="shared" si="64"/>
        <v>61658.34</v>
      </c>
      <c r="L673" s="48">
        <f t="shared" si="64"/>
        <v>61658.34</v>
      </c>
      <c r="M673" s="48">
        <f t="shared" si="64"/>
        <v>61658.34</v>
      </c>
      <c r="N673" s="48">
        <f t="shared" si="64"/>
        <v>61658.34</v>
      </c>
      <c r="O673" s="50">
        <f>18750+43002.61</f>
        <v>61752.61</v>
      </c>
      <c r="P673" s="21">
        <f>SUM(D673:O673)</f>
        <v>739994.3499999997</v>
      </c>
    </row>
    <row r="674" spans="3:16" ht="13.5" customHeight="1" thickBot="1">
      <c r="C674" s="6" t="s">
        <v>214</v>
      </c>
      <c r="D674" s="22">
        <f aca="true" t="shared" si="65" ref="D674:O674">SUM(D671:D673)</f>
        <v>61908.34</v>
      </c>
      <c r="E674" s="22">
        <f t="shared" si="65"/>
        <v>61658.34</v>
      </c>
      <c r="F674" s="22">
        <f t="shared" si="65"/>
        <v>61658.34</v>
      </c>
      <c r="G674" s="22">
        <f t="shared" si="65"/>
        <v>61658.34</v>
      </c>
      <c r="H674" s="22">
        <f t="shared" si="65"/>
        <v>61658.34</v>
      </c>
      <c r="I674" s="22">
        <f t="shared" si="65"/>
        <v>61658.34</v>
      </c>
      <c r="J674" s="22">
        <f t="shared" si="65"/>
        <v>61658.34</v>
      </c>
      <c r="K674" s="22">
        <f t="shared" si="65"/>
        <v>61658.34</v>
      </c>
      <c r="L674" s="22">
        <f t="shared" si="65"/>
        <v>61658.34</v>
      </c>
      <c r="M674" s="22">
        <f t="shared" si="65"/>
        <v>61658.34</v>
      </c>
      <c r="N674" s="22">
        <f t="shared" si="65"/>
        <v>61658.34</v>
      </c>
      <c r="O674" s="30">
        <f t="shared" si="65"/>
        <v>61752.61</v>
      </c>
      <c r="P674" s="22">
        <f>SUM(P671:P673)</f>
        <v>740244.3499999997</v>
      </c>
    </row>
    <row r="675" ht="13.5" customHeight="1">
      <c r="C675" s="10"/>
    </row>
    <row r="676" spans="1:3" ht="13.5" customHeight="1">
      <c r="A676" s="14"/>
      <c r="B676" s="37" t="s">
        <v>104</v>
      </c>
      <c r="C676" s="25" t="s">
        <v>272</v>
      </c>
    </row>
    <row r="677" ht="13.5" customHeight="1">
      <c r="C677" s="4" t="s">
        <v>3</v>
      </c>
    </row>
    <row r="678" ht="13.5" customHeight="1">
      <c r="C678" s="4" t="s">
        <v>4</v>
      </c>
    </row>
    <row r="679" ht="13.5" customHeight="1" thickBot="1">
      <c r="C679" s="4" t="s">
        <v>5</v>
      </c>
    </row>
    <row r="680" ht="13.5" customHeight="1" thickBot="1">
      <c r="C680" s="6" t="s">
        <v>117</v>
      </c>
    </row>
    <row r="681" ht="13.5" customHeight="1">
      <c r="C681" s="10"/>
    </row>
    <row r="682" spans="1:3" ht="13.5" customHeight="1">
      <c r="A682" s="14"/>
      <c r="B682" s="37" t="s">
        <v>104</v>
      </c>
      <c r="C682" s="25" t="s">
        <v>215</v>
      </c>
    </row>
    <row r="683" ht="13.5" customHeight="1">
      <c r="C683" s="4" t="s">
        <v>3</v>
      </c>
    </row>
    <row r="684" ht="13.5" customHeight="1">
      <c r="C684" s="4" t="s">
        <v>4</v>
      </c>
    </row>
    <row r="685" ht="13.5" customHeight="1" thickBot="1">
      <c r="C685" s="4" t="s">
        <v>5</v>
      </c>
    </row>
    <row r="686" ht="13.5" customHeight="1" thickBot="1">
      <c r="C686" s="6" t="s">
        <v>74</v>
      </c>
    </row>
    <row r="687" ht="13.5" customHeight="1">
      <c r="C687" s="10"/>
    </row>
    <row r="688" spans="1:3" ht="13.5" customHeight="1">
      <c r="A688" s="14"/>
      <c r="B688" s="37" t="s">
        <v>104</v>
      </c>
      <c r="C688" s="25" t="s">
        <v>216</v>
      </c>
    </row>
    <row r="689" ht="13.5" customHeight="1">
      <c r="C689" s="4" t="s">
        <v>3</v>
      </c>
    </row>
    <row r="690" ht="13.5" customHeight="1">
      <c r="C690" s="4" t="s">
        <v>4</v>
      </c>
    </row>
    <row r="691" ht="13.5" customHeight="1" thickBot="1">
      <c r="C691" s="4" t="s">
        <v>5</v>
      </c>
    </row>
    <row r="692" ht="13.5" customHeight="1" thickBot="1">
      <c r="C692" s="6" t="s">
        <v>217</v>
      </c>
    </row>
    <row r="693" ht="13.5" customHeight="1">
      <c r="C693" s="10"/>
    </row>
    <row r="694" spans="1:3" ht="13.5" customHeight="1">
      <c r="A694" s="14">
        <f>+A670+1</f>
        <v>32</v>
      </c>
      <c r="C694" s="5" t="s">
        <v>218</v>
      </c>
    </row>
    <row r="695" spans="3:16" ht="13.5" customHeight="1">
      <c r="C695" s="4" t="s">
        <v>3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9">
        <v>0</v>
      </c>
      <c r="P695" s="21">
        <f>SUM(D695:O695)</f>
        <v>0</v>
      </c>
    </row>
    <row r="696" spans="3:16" ht="13.5" customHeight="1">
      <c r="C696" s="4" t="s">
        <v>4</v>
      </c>
      <c r="D696" s="48">
        <v>250</v>
      </c>
      <c r="P696" s="21">
        <f>SUM(D696:O696)</f>
        <v>250</v>
      </c>
    </row>
    <row r="697" spans="3:16" ht="13.5" customHeight="1" thickBot="1">
      <c r="C697" s="4" t="s">
        <v>5</v>
      </c>
      <c r="D697" s="48">
        <f>47596.67+48455.7</f>
        <v>96052.37</v>
      </c>
      <c r="E697" s="48">
        <f>49215+46837.41</f>
        <v>96052.41</v>
      </c>
      <c r="F697" s="48">
        <f aca="true" t="shared" si="66" ref="F697:O697">49215+46837.41</f>
        <v>96052.41</v>
      </c>
      <c r="G697" s="48">
        <f t="shared" si="66"/>
        <v>96052.41</v>
      </c>
      <c r="H697" s="48">
        <f t="shared" si="66"/>
        <v>96052.41</v>
      </c>
      <c r="I697" s="48">
        <f t="shared" si="66"/>
        <v>96052.41</v>
      </c>
      <c r="J697" s="48">
        <f t="shared" si="66"/>
        <v>96052.41</v>
      </c>
      <c r="K697" s="48">
        <f t="shared" si="66"/>
        <v>96052.41</v>
      </c>
      <c r="L697" s="48">
        <f t="shared" si="66"/>
        <v>96052.41</v>
      </c>
      <c r="M697" s="48">
        <f t="shared" si="66"/>
        <v>96052.41</v>
      </c>
      <c r="N697" s="48">
        <f t="shared" si="66"/>
        <v>96052.41</v>
      </c>
      <c r="O697" s="50">
        <f t="shared" si="66"/>
        <v>96052.41</v>
      </c>
      <c r="P697" s="21">
        <f>SUM(D697:O697)</f>
        <v>1152628.8800000001</v>
      </c>
    </row>
    <row r="698" spans="3:16" ht="13.5" customHeight="1" thickBot="1">
      <c r="C698" s="6" t="s">
        <v>40</v>
      </c>
      <c r="D698" s="22">
        <f aca="true" t="shared" si="67" ref="D698:O698">SUM(D695:D697)</f>
        <v>96302.37</v>
      </c>
      <c r="E698" s="22">
        <f t="shared" si="67"/>
        <v>96052.41</v>
      </c>
      <c r="F698" s="22">
        <f t="shared" si="67"/>
        <v>96052.41</v>
      </c>
      <c r="G698" s="22">
        <f t="shared" si="67"/>
        <v>96052.41</v>
      </c>
      <c r="H698" s="22">
        <f t="shared" si="67"/>
        <v>96052.41</v>
      </c>
      <c r="I698" s="22">
        <f t="shared" si="67"/>
        <v>96052.41</v>
      </c>
      <c r="J698" s="22">
        <f t="shared" si="67"/>
        <v>96052.41</v>
      </c>
      <c r="K698" s="22">
        <f t="shared" si="67"/>
        <v>96052.41</v>
      </c>
      <c r="L698" s="22">
        <f t="shared" si="67"/>
        <v>96052.41</v>
      </c>
      <c r="M698" s="22">
        <f t="shared" si="67"/>
        <v>96052.41</v>
      </c>
      <c r="N698" s="22">
        <f t="shared" si="67"/>
        <v>96052.41</v>
      </c>
      <c r="O698" s="30">
        <f t="shared" si="67"/>
        <v>96052.41</v>
      </c>
      <c r="P698" s="22">
        <f>SUM(P695:P697)</f>
        <v>1152878.8800000001</v>
      </c>
    </row>
    <row r="699" ht="13.5" customHeight="1">
      <c r="C699" s="10"/>
    </row>
    <row r="700" spans="1:3" ht="13.5" customHeight="1">
      <c r="A700" s="14"/>
      <c r="B700" s="37" t="s">
        <v>104</v>
      </c>
      <c r="C700" s="25" t="s">
        <v>219</v>
      </c>
    </row>
    <row r="701" ht="13.5" customHeight="1">
      <c r="C701" s="4" t="s">
        <v>3</v>
      </c>
    </row>
    <row r="702" ht="13.5" customHeight="1">
      <c r="C702" s="4" t="s">
        <v>4</v>
      </c>
    </row>
    <row r="703" ht="13.5" customHeight="1" thickBot="1">
      <c r="C703" s="4" t="s">
        <v>5</v>
      </c>
    </row>
    <row r="704" ht="13.5" customHeight="1" thickBot="1">
      <c r="C704" s="6" t="s">
        <v>30</v>
      </c>
    </row>
    <row r="705" ht="13.5" customHeight="1">
      <c r="C705" s="10"/>
    </row>
    <row r="706" spans="2:3" ht="13.5" customHeight="1">
      <c r="B706" s="37" t="s">
        <v>104</v>
      </c>
      <c r="C706" s="25" t="s">
        <v>220</v>
      </c>
    </row>
    <row r="707" ht="13.5" customHeight="1">
      <c r="C707" s="4" t="s">
        <v>3</v>
      </c>
    </row>
    <row r="708" ht="13.5" customHeight="1">
      <c r="C708" s="4" t="s">
        <v>4</v>
      </c>
    </row>
    <row r="709" ht="13.5" customHeight="1" thickBot="1">
      <c r="C709" s="4" t="s">
        <v>5</v>
      </c>
    </row>
    <row r="710" ht="13.5" customHeight="1" thickBot="1">
      <c r="C710" s="6" t="s">
        <v>32</v>
      </c>
    </row>
    <row r="711" ht="13.5" customHeight="1">
      <c r="C711" s="10"/>
    </row>
    <row r="712" spans="2:3" ht="13.5" customHeight="1">
      <c r="B712" s="37" t="s">
        <v>104</v>
      </c>
      <c r="C712" s="25" t="s">
        <v>221</v>
      </c>
    </row>
    <row r="713" ht="13.5" customHeight="1">
      <c r="C713" s="4" t="s">
        <v>3</v>
      </c>
    </row>
    <row r="714" ht="13.5" customHeight="1">
      <c r="C714" s="4" t="s">
        <v>4</v>
      </c>
    </row>
    <row r="715" ht="13.5" customHeight="1" thickBot="1">
      <c r="C715" s="4" t="s">
        <v>5</v>
      </c>
    </row>
    <row r="716" ht="13.5" customHeight="1" thickBot="1">
      <c r="C716" s="6" t="s">
        <v>82</v>
      </c>
    </row>
    <row r="717" ht="13.5" customHeight="1">
      <c r="C717" s="10"/>
    </row>
    <row r="718" spans="2:3" ht="13.5" customHeight="1">
      <c r="B718" s="37" t="s">
        <v>104</v>
      </c>
      <c r="C718" s="25" t="s">
        <v>222</v>
      </c>
    </row>
    <row r="719" ht="13.5" customHeight="1">
      <c r="C719" s="4" t="s">
        <v>3</v>
      </c>
    </row>
    <row r="720" ht="13.5" customHeight="1">
      <c r="C720" s="4" t="s">
        <v>4</v>
      </c>
    </row>
    <row r="721" ht="13.5" customHeight="1" thickBot="1">
      <c r="C721" s="4" t="s">
        <v>5</v>
      </c>
    </row>
    <row r="722" ht="13.5" customHeight="1" thickBot="1">
      <c r="C722" s="6" t="s">
        <v>223</v>
      </c>
    </row>
    <row r="723" ht="13.5" customHeight="1">
      <c r="C723" s="10"/>
    </row>
    <row r="724" spans="2:3" ht="13.5" customHeight="1">
      <c r="B724" s="37" t="s">
        <v>104</v>
      </c>
      <c r="C724" s="25" t="s">
        <v>224</v>
      </c>
    </row>
    <row r="725" ht="13.5" customHeight="1">
      <c r="C725" s="4" t="s">
        <v>3</v>
      </c>
    </row>
    <row r="726" ht="13.5" customHeight="1">
      <c r="C726" s="4" t="s">
        <v>4</v>
      </c>
    </row>
    <row r="727" ht="13.5" customHeight="1" thickBot="1">
      <c r="C727" s="4" t="s">
        <v>5</v>
      </c>
    </row>
    <row r="728" ht="13.5" customHeight="1" thickBot="1">
      <c r="C728" s="6" t="s">
        <v>115</v>
      </c>
    </row>
    <row r="729" ht="13.5" customHeight="1">
      <c r="C729" s="10"/>
    </row>
    <row r="730" spans="2:3" ht="13.5" customHeight="1">
      <c r="B730" s="37" t="s">
        <v>104</v>
      </c>
      <c r="C730" s="25" t="s">
        <v>225</v>
      </c>
    </row>
    <row r="731" spans="3:16" ht="13.5" customHeight="1">
      <c r="C731" s="4" t="s">
        <v>3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9"/>
      <c r="P731" s="21">
        <f>SUM(D731:O731)</f>
        <v>0</v>
      </c>
    </row>
    <row r="732" spans="3:16" ht="13.5" customHeight="1">
      <c r="C732" s="4" t="s">
        <v>4</v>
      </c>
      <c r="D732" s="48">
        <v>250</v>
      </c>
      <c r="P732" s="21">
        <f>SUM(D732:O732)</f>
        <v>250</v>
      </c>
    </row>
    <row r="733" spans="3:16" ht="13.5" customHeight="1" thickBot="1">
      <c r="C733" s="4" t="s">
        <v>5</v>
      </c>
      <c r="D733" s="48">
        <v>31308.43</v>
      </c>
      <c r="E733" s="48">
        <v>31308.43</v>
      </c>
      <c r="F733" s="48">
        <v>31308.43</v>
      </c>
      <c r="G733" s="48">
        <v>31308.43</v>
      </c>
      <c r="H733" s="48">
        <v>31308.43</v>
      </c>
      <c r="I733" s="48">
        <v>31308.43</v>
      </c>
      <c r="J733" s="48">
        <v>31308.43</v>
      </c>
      <c r="K733" s="48">
        <v>31308.43</v>
      </c>
      <c r="L733" s="48">
        <v>31308.43</v>
      </c>
      <c r="M733" s="48">
        <v>31308.43</v>
      </c>
      <c r="N733" s="49">
        <v>31308.43</v>
      </c>
      <c r="O733" s="50"/>
      <c r="P733" s="21">
        <f>SUM(D733:O733)</f>
        <v>344392.73</v>
      </c>
    </row>
    <row r="734" spans="3:16" ht="13.5" customHeight="1" thickBot="1">
      <c r="C734" s="6" t="s">
        <v>110</v>
      </c>
      <c r="D734" s="22">
        <f aca="true" t="shared" si="68" ref="D734:O734">SUM(D731:D733)</f>
        <v>31558.43</v>
      </c>
      <c r="E734" s="22">
        <f t="shared" si="68"/>
        <v>31308.43</v>
      </c>
      <c r="F734" s="22">
        <f t="shared" si="68"/>
        <v>31308.43</v>
      </c>
      <c r="G734" s="22">
        <f t="shared" si="68"/>
        <v>31308.43</v>
      </c>
      <c r="H734" s="22">
        <f t="shared" si="68"/>
        <v>31308.43</v>
      </c>
      <c r="I734" s="22">
        <f t="shared" si="68"/>
        <v>31308.43</v>
      </c>
      <c r="J734" s="22">
        <f t="shared" si="68"/>
        <v>31308.43</v>
      </c>
      <c r="K734" s="22">
        <f t="shared" si="68"/>
        <v>31308.43</v>
      </c>
      <c r="L734" s="22">
        <f t="shared" si="68"/>
        <v>31308.43</v>
      </c>
      <c r="M734" s="22">
        <f t="shared" si="68"/>
        <v>31308.43</v>
      </c>
      <c r="N734" s="22">
        <f t="shared" si="68"/>
        <v>31308.43</v>
      </c>
      <c r="O734" s="30">
        <f t="shared" si="68"/>
        <v>0</v>
      </c>
      <c r="P734" s="22">
        <f>SUM(P731:P733)</f>
        <v>344642.73</v>
      </c>
    </row>
    <row r="735" ht="13.5" customHeight="1">
      <c r="C735" s="10"/>
    </row>
    <row r="736" spans="2:3" ht="13.5" customHeight="1">
      <c r="B736" s="37" t="s">
        <v>104</v>
      </c>
      <c r="C736" s="25" t="s">
        <v>226</v>
      </c>
    </row>
    <row r="737" ht="13.5" customHeight="1">
      <c r="C737" s="4" t="s">
        <v>3</v>
      </c>
    </row>
    <row r="738" ht="13.5" customHeight="1">
      <c r="C738" s="4" t="s">
        <v>4</v>
      </c>
    </row>
    <row r="739" ht="13.5" customHeight="1" thickBot="1">
      <c r="C739" s="4" t="s">
        <v>5</v>
      </c>
    </row>
    <row r="740" ht="13.5" customHeight="1" thickBot="1">
      <c r="C740" s="6" t="s">
        <v>227</v>
      </c>
    </row>
    <row r="741" ht="13.5" customHeight="1">
      <c r="C741" s="10"/>
    </row>
    <row r="742" spans="1:3" ht="13.5" customHeight="1">
      <c r="A742" s="1">
        <f>A694+1</f>
        <v>33</v>
      </c>
      <c r="B742" s="39"/>
      <c r="C742" s="5" t="s">
        <v>187</v>
      </c>
    </row>
    <row r="743" spans="3:16" ht="13.5" customHeight="1">
      <c r="C743" s="4" t="s">
        <v>3</v>
      </c>
      <c r="D743" s="48">
        <v>238.33</v>
      </c>
      <c r="E743" s="48">
        <v>238.33</v>
      </c>
      <c r="F743" s="48">
        <v>238.33</v>
      </c>
      <c r="G743" s="48">
        <v>238.33</v>
      </c>
      <c r="H743" s="48">
        <v>238.33</v>
      </c>
      <c r="I743" s="48">
        <v>232.5</v>
      </c>
      <c r="J743" s="48">
        <v>232.5</v>
      </c>
      <c r="K743" s="48">
        <v>232.5</v>
      </c>
      <c r="L743" s="48">
        <v>232.5</v>
      </c>
      <c r="M743" s="48">
        <v>232.5</v>
      </c>
      <c r="N743" s="48">
        <v>232.5</v>
      </c>
      <c r="O743" s="50">
        <v>232.5</v>
      </c>
      <c r="P743" s="21">
        <f>SUM(D743:O743)</f>
        <v>2819.15</v>
      </c>
    </row>
    <row r="744" spans="3:16" ht="13.5" customHeight="1">
      <c r="C744" s="4" t="s">
        <v>4</v>
      </c>
      <c r="D744" s="48">
        <v>250</v>
      </c>
      <c r="P744" s="21">
        <f>SUM(D744:O744)</f>
        <v>250</v>
      </c>
    </row>
    <row r="745" spans="3:16" ht="13.5" customHeight="1" thickBot="1">
      <c r="C745" s="4" t="s">
        <v>5</v>
      </c>
      <c r="D745" s="48">
        <f>5833.33+8644.27</f>
        <v>14477.6</v>
      </c>
      <c r="E745" s="48">
        <f>5833.33+8644.27</f>
        <v>14477.6</v>
      </c>
      <c r="F745" s="48">
        <f>5833.33+8644.27</f>
        <v>14477.6</v>
      </c>
      <c r="G745" s="48">
        <f>5833.33+8644.27</f>
        <v>14477.6</v>
      </c>
      <c r="H745" s="48">
        <f>5833.33+8644.27</f>
        <v>14477.6</v>
      </c>
      <c r="I745" s="48">
        <f>5833.37+8644.28</f>
        <v>14477.650000000001</v>
      </c>
      <c r="J745" s="48">
        <f>6250+8527.61</f>
        <v>14777.61</v>
      </c>
      <c r="K745" s="48">
        <f>6250+8527.61</f>
        <v>14777.61</v>
      </c>
      <c r="L745" s="48">
        <f>6250+8527.61</f>
        <v>14777.61</v>
      </c>
      <c r="M745" s="48">
        <f>6250+8527.61</f>
        <v>14777.61</v>
      </c>
      <c r="N745" s="48">
        <f>6250+8527.61</f>
        <v>14777.61</v>
      </c>
      <c r="O745" s="50">
        <f>6250+8527.58</f>
        <v>14777.58</v>
      </c>
      <c r="P745" s="21">
        <f>SUM(D745:O745)</f>
        <v>175531.27999999994</v>
      </c>
    </row>
    <row r="746" spans="3:16" ht="13.5" customHeight="1" thickBot="1">
      <c r="C746" s="6" t="s">
        <v>188</v>
      </c>
      <c r="D746" s="22">
        <f aca="true" t="shared" si="69" ref="D746:O746">SUM(D743:D745)</f>
        <v>14965.93</v>
      </c>
      <c r="E746" s="22">
        <f t="shared" si="69"/>
        <v>14715.93</v>
      </c>
      <c r="F746" s="22">
        <f t="shared" si="69"/>
        <v>14715.93</v>
      </c>
      <c r="G746" s="22">
        <f t="shared" si="69"/>
        <v>14715.93</v>
      </c>
      <c r="H746" s="22">
        <f t="shared" si="69"/>
        <v>14715.93</v>
      </c>
      <c r="I746" s="22">
        <f t="shared" si="69"/>
        <v>14710.150000000001</v>
      </c>
      <c r="J746" s="22">
        <f t="shared" si="69"/>
        <v>15010.11</v>
      </c>
      <c r="K746" s="22">
        <f t="shared" si="69"/>
        <v>15010.11</v>
      </c>
      <c r="L746" s="22">
        <f t="shared" si="69"/>
        <v>15010.11</v>
      </c>
      <c r="M746" s="22">
        <f t="shared" si="69"/>
        <v>15010.11</v>
      </c>
      <c r="N746" s="22">
        <f t="shared" si="69"/>
        <v>15010.11</v>
      </c>
      <c r="O746" s="30">
        <f t="shared" si="69"/>
        <v>15010.08</v>
      </c>
      <c r="P746" s="22">
        <f>SUM(P743:P745)</f>
        <v>178600.42999999993</v>
      </c>
    </row>
    <row r="747" ht="13.5" customHeight="1">
      <c r="C747" s="10"/>
    </row>
    <row r="748" spans="1:3" ht="13.5" customHeight="1">
      <c r="A748" s="1">
        <f>A742+1</f>
        <v>34</v>
      </c>
      <c r="B748" s="39"/>
      <c r="C748" s="5" t="s">
        <v>228</v>
      </c>
    </row>
    <row r="749" spans="3:16" ht="13.5" customHeight="1">
      <c r="C749" s="4" t="s">
        <v>3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9">
        <v>0</v>
      </c>
      <c r="P749" s="21">
        <f>SUM(D749:O749)</f>
        <v>0</v>
      </c>
    </row>
    <row r="750" spans="3:16" ht="13.5" customHeight="1">
      <c r="C750" s="4" t="s">
        <v>4</v>
      </c>
      <c r="D750" s="48">
        <v>250</v>
      </c>
      <c r="P750" s="21">
        <f>SUM(D750:O750)</f>
        <v>250</v>
      </c>
    </row>
    <row r="751" spans="3:16" ht="13.5" customHeight="1" thickBot="1">
      <c r="C751" s="4" t="s">
        <v>5</v>
      </c>
      <c r="D751" s="21">
        <v>39543.75</v>
      </c>
      <c r="E751" s="21">
        <v>39543.75</v>
      </c>
      <c r="F751" s="21">
        <v>39543.75</v>
      </c>
      <c r="G751" s="21">
        <v>39543.75</v>
      </c>
      <c r="H751" s="21">
        <v>32953.13</v>
      </c>
      <c r="I751" s="21">
        <v>32953.13</v>
      </c>
      <c r="J751" s="21">
        <v>32953.13</v>
      </c>
      <c r="K751" s="21">
        <v>32953.13</v>
      </c>
      <c r="L751" s="21">
        <v>32953.13</v>
      </c>
      <c r="M751" s="21">
        <v>32953.13</v>
      </c>
      <c r="N751" s="21">
        <v>32953.13</v>
      </c>
      <c r="O751" s="29">
        <v>32953.13</v>
      </c>
      <c r="P751" s="21">
        <f>SUM(D751:O751)</f>
        <v>421800.04000000004</v>
      </c>
    </row>
    <row r="752" spans="3:16" ht="13.5" customHeight="1" thickBot="1">
      <c r="C752" s="6" t="s">
        <v>186</v>
      </c>
      <c r="D752" s="22">
        <f aca="true" t="shared" si="70" ref="D752:O752">SUM(D749:D751)</f>
        <v>39793.75</v>
      </c>
      <c r="E752" s="22">
        <f t="shared" si="70"/>
        <v>39543.75</v>
      </c>
      <c r="F752" s="22">
        <f t="shared" si="70"/>
        <v>39543.75</v>
      </c>
      <c r="G752" s="22">
        <f t="shared" si="70"/>
        <v>39543.75</v>
      </c>
      <c r="H752" s="22">
        <f t="shared" si="70"/>
        <v>32953.13</v>
      </c>
      <c r="I752" s="22">
        <f t="shared" si="70"/>
        <v>32953.13</v>
      </c>
      <c r="J752" s="22">
        <f t="shared" si="70"/>
        <v>32953.13</v>
      </c>
      <c r="K752" s="22">
        <f t="shared" si="70"/>
        <v>32953.13</v>
      </c>
      <c r="L752" s="22">
        <f t="shared" si="70"/>
        <v>32953.13</v>
      </c>
      <c r="M752" s="22">
        <f t="shared" si="70"/>
        <v>32953.13</v>
      </c>
      <c r="N752" s="22">
        <f t="shared" si="70"/>
        <v>32953.13</v>
      </c>
      <c r="O752" s="30">
        <f t="shared" si="70"/>
        <v>32953.13</v>
      </c>
      <c r="P752" s="22">
        <f>SUM(P749:P751)</f>
        <v>422050.04000000004</v>
      </c>
    </row>
    <row r="753" ht="13.5" customHeight="1">
      <c r="C753" s="10"/>
    </row>
    <row r="754" spans="1:3" ht="13.5" customHeight="1">
      <c r="A754" s="1">
        <f>A748+1</f>
        <v>35</v>
      </c>
      <c r="B754" s="39"/>
      <c r="C754" s="5" t="s">
        <v>229</v>
      </c>
    </row>
    <row r="755" spans="3:16" ht="13.5" customHeight="1">
      <c r="C755" s="4" t="s">
        <v>3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9">
        <v>0</v>
      </c>
      <c r="P755" s="21">
        <f>SUM(D755:O755)</f>
        <v>0</v>
      </c>
    </row>
    <row r="756" spans="3:16" ht="13.5" customHeight="1">
      <c r="C756" s="4" t="s">
        <v>4</v>
      </c>
      <c r="D756" s="48">
        <v>250</v>
      </c>
      <c r="P756" s="21">
        <f>SUM(D756:O756)</f>
        <v>250</v>
      </c>
    </row>
    <row r="757" spans="3:16" ht="13.5" customHeight="1" thickBot="1">
      <c r="C757" s="4" t="s">
        <v>5</v>
      </c>
      <c r="D757" s="48">
        <f aca="true" t="shared" si="71" ref="D757:M757">1666.67+6450</f>
        <v>8116.67</v>
      </c>
      <c r="E757" s="48">
        <f t="shared" si="71"/>
        <v>8116.67</v>
      </c>
      <c r="F757" s="48">
        <f t="shared" si="71"/>
        <v>8116.67</v>
      </c>
      <c r="G757" s="48">
        <f t="shared" si="71"/>
        <v>8116.67</v>
      </c>
      <c r="H757" s="48">
        <f t="shared" si="71"/>
        <v>8116.67</v>
      </c>
      <c r="I757" s="48">
        <f t="shared" si="71"/>
        <v>8116.67</v>
      </c>
      <c r="J757" s="48">
        <f t="shared" si="71"/>
        <v>8116.67</v>
      </c>
      <c r="K757" s="48">
        <f t="shared" si="71"/>
        <v>8116.67</v>
      </c>
      <c r="L757" s="48">
        <f t="shared" si="71"/>
        <v>8116.67</v>
      </c>
      <c r="M757" s="48">
        <f t="shared" si="71"/>
        <v>8116.67</v>
      </c>
      <c r="N757" s="48">
        <f>1666.63+6450</f>
        <v>8116.63</v>
      </c>
      <c r="O757" s="50">
        <f>1666.67+6362.5</f>
        <v>8029.17</v>
      </c>
      <c r="P757" s="21">
        <f>SUM(D757:O757)</f>
        <v>97312.5</v>
      </c>
    </row>
    <row r="758" spans="3:16" ht="13.5" customHeight="1" thickBot="1">
      <c r="C758" s="6" t="s">
        <v>230</v>
      </c>
      <c r="D758" s="22">
        <f aca="true" t="shared" si="72" ref="D758:O758">SUM(D755:D757)</f>
        <v>8366.67</v>
      </c>
      <c r="E758" s="22">
        <f t="shared" si="72"/>
        <v>8116.67</v>
      </c>
      <c r="F758" s="22">
        <f t="shared" si="72"/>
        <v>8116.67</v>
      </c>
      <c r="G758" s="22">
        <f t="shared" si="72"/>
        <v>8116.67</v>
      </c>
      <c r="H758" s="22">
        <f t="shared" si="72"/>
        <v>8116.67</v>
      </c>
      <c r="I758" s="22">
        <f t="shared" si="72"/>
        <v>8116.67</v>
      </c>
      <c r="J758" s="22">
        <f t="shared" si="72"/>
        <v>8116.67</v>
      </c>
      <c r="K758" s="22">
        <f t="shared" si="72"/>
        <v>8116.67</v>
      </c>
      <c r="L758" s="22">
        <f t="shared" si="72"/>
        <v>8116.67</v>
      </c>
      <c r="M758" s="22">
        <f t="shared" si="72"/>
        <v>8116.67</v>
      </c>
      <c r="N758" s="22">
        <f t="shared" si="72"/>
        <v>8116.63</v>
      </c>
      <c r="O758" s="30">
        <f t="shared" si="72"/>
        <v>8029.17</v>
      </c>
      <c r="P758" s="22">
        <f>SUM(P755:P757)</f>
        <v>97562.5</v>
      </c>
    </row>
    <row r="759" ht="13.5" customHeight="1">
      <c r="C759" s="10"/>
    </row>
    <row r="760" spans="2:3" ht="13.5" customHeight="1">
      <c r="B760" s="37" t="s">
        <v>104</v>
      </c>
      <c r="C760" s="25" t="s">
        <v>231</v>
      </c>
    </row>
    <row r="761" ht="13.5" customHeight="1">
      <c r="C761" s="4" t="s">
        <v>3</v>
      </c>
    </row>
    <row r="762" ht="13.5" customHeight="1">
      <c r="C762" s="4" t="s">
        <v>4</v>
      </c>
    </row>
    <row r="763" ht="13.5" customHeight="1" thickBot="1">
      <c r="C763" s="4" t="s">
        <v>5</v>
      </c>
    </row>
    <row r="764" ht="13.5" customHeight="1" thickBot="1">
      <c r="C764" s="6" t="s">
        <v>182</v>
      </c>
    </row>
    <row r="765" ht="13.5" customHeight="1">
      <c r="C765" s="10"/>
    </row>
    <row r="766" spans="1:3" ht="13.5" customHeight="1">
      <c r="A766" s="1">
        <f>A754+1</f>
        <v>36</v>
      </c>
      <c r="B766" s="39"/>
      <c r="C766" s="5" t="s">
        <v>232</v>
      </c>
    </row>
    <row r="767" spans="3:16" ht="13.5" customHeight="1">
      <c r="C767" s="4" t="s">
        <v>3</v>
      </c>
      <c r="D767" s="48">
        <v>1512.5</v>
      </c>
      <c r="E767" s="48">
        <v>1512.5</v>
      </c>
      <c r="F767" s="48">
        <v>1512.5</v>
      </c>
      <c r="G767" s="48">
        <v>1512.5</v>
      </c>
      <c r="H767" s="48">
        <v>1512.5</v>
      </c>
      <c r="I767" s="48">
        <v>1512.5</v>
      </c>
      <c r="J767" s="48">
        <v>1512.5</v>
      </c>
      <c r="K767" s="48">
        <v>1512.5</v>
      </c>
      <c r="L767" s="48">
        <v>1482.92</v>
      </c>
      <c r="M767" s="48">
        <v>1482.92</v>
      </c>
      <c r="N767" s="48">
        <v>1482.92</v>
      </c>
      <c r="O767" s="50">
        <v>1482.92</v>
      </c>
      <c r="P767" s="21">
        <f>SUM(D767:O767)</f>
        <v>18031.68</v>
      </c>
    </row>
    <row r="768" spans="3:16" ht="13.5" customHeight="1">
      <c r="C768" s="4" t="s">
        <v>4</v>
      </c>
      <c r="D768" s="48">
        <v>250</v>
      </c>
      <c r="P768" s="21">
        <f>SUM(D768:O768)</f>
        <v>250</v>
      </c>
    </row>
    <row r="769" spans="3:16" ht="13.5" customHeight="1" thickBot="1">
      <c r="C769" s="4" t="s">
        <v>5</v>
      </c>
      <c r="D769" s="48">
        <f>30833.33+65058.33</f>
        <v>95891.66</v>
      </c>
      <c r="E769" s="48">
        <f aca="true" t="shared" si="73" ref="E769:N769">30833.33+65058.33</f>
        <v>95891.66</v>
      </c>
      <c r="F769" s="48">
        <f t="shared" si="73"/>
        <v>95891.66</v>
      </c>
      <c r="G769" s="48">
        <f t="shared" si="73"/>
        <v>95891.66</v>
      </c>
      <c r="H769" s="48">
        <f t="shared" si="73"/>
        <v>95891.66</v>
      </c>
      <c r="I769" s="48">
        <f>30833.33+65058.35</f>
        <v>95891.68</v>
      </c>
      <c r="J769" s="48">
        <f t="shared" si="73"/>
        <v>95891.66</v>
      </c>
      <c r="K769" s="48">
        <f t="shared" si="73"/>
        <v>95891.66</v>
      </c>
      <c r="L769" s="48">
        <f t="shared" si="73"/>
        <v>95891.66</v>
      </c>
      <c r="M769" s="48">
        <f t="shared" si="73"/>
        <v>95891.66</v>
      </c>
      <c r="N769" s="48">
        <f t="shared" si="73"/>
        <v>95891.66</v>
      </c>
      <c r="O769" s="50">
        <f>30833.37+65058.35</f>
        <v>95891.72</v>
      </c>
      <c r="P769" s="21">
        <f>SUM(D769:O769)</f>
        <v>1150700</v>
      </c>
    </row>
    <row r="770" spans="3:16" ht="13.5" customHeight="1" thickBot="1">
      <c r="C770" s="6" t="s">
        <v>233</v>
      </c>
      <c r="D770" s="22">
        <f aca="true" t="shared" si="74" ref="D770:O770">SUM(D767:D769)</f>
        <v>97654.16</v>
      </c>
      <c r="E770" s="22">
        <f t="shared" si="74"/>
        <v>97404.16</v>
      </c>
      <c r="F770" s="22">
        <f t="shared" si="74"/>
        <v>97404.16</v>
      </c>
      <c r="G770" s="22">
        <f t="shared" si="74"/>
        <v>97404.16</v>
      </c>
      <c r="H770" s="22">
        <f t="shared" si="74"/>
        <v>97404.16</v>
      </c>
      <c r="I770" s="22">
        <f t="shared" si="74"/>
        <v>97404.18</v>
      </c>
      <c r="J770" s="22">
        <f t="shared" si="74"/>
        <v>97404.16</v>
      </c>
      <c r="K770" s="22">
        <f t="shared" si="74"/>
        <v>97404.16</v>
      </c>
      <c r="L770" s="22">
        <f t="shared" si="74"/>
        <v>97374.58</v>
      </c>
      <c r="M770" s="22">
        <f t="shared" si="74"/>
        <v>97374.58</v>
      </c>
      <c r="N770" s="22">
        <f t="shared" si="74"/>
        <v>97374.58</v>
      </c>
      <c r="O770" s="30">
        <f t="shared" si="74"/>
        <v>97374.64</v>
      </c>
      <c r="P770" s="22">
        <f>SUM(P767:P769)</f>
        <v>1168981.68</v>
      </c>
    </row>
    <row r="771" ht="13.5" customHeight="1">
      <c r="C771" s="10"/>
    </row>
    <row r="772" spans="1:3" ht="13.5" customHeight="1">
      <c r="A772" s="1">
        <f>A766+1</f>
        <v>37</v>
      </c>
      <c r="B772" s="39"/>
      <c r="C772" s="5" t="s">
        <v>234</v>
      </c>
    </row>
    <row r="773" spans="3:16" ht="13.5" customHeight="1">
      <c r="C773" s="4" t="s">
        <v>3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9">
        <v>0</v>
      </c>
      <c r="P773" s="21">
        <f>SUM(D773:O773)</f>
        <v>0</v>
      </c>
    </row>
    <row r="774" spans="3:16" ht="13.5" customHeight="1">
      <c r="C774" s="4" t="s">
        <v>4</v>
      </c>
      <c r="D774" s="48">
        <v>250</v>
      </c>
      <c r="P774" s="21">
        <f>SUM(D774:O774)</f>
        <v>250</v>
      </c>
    </row>
    <row r="775" spans="3:16" ht="13.5" customHeight="1" thickBot="1">
      <c r="C775" s="4" t="s">
        <v>5</v>
      </c>
      <c r="D775" s="21">
        <v>50618.25</v>
      </c>
      <c r="E775" s="21">
        <v>50618.25</v>
      </c>
      <c r="F775" s="21">
        <v>50618.25</v>
      </c>
      <c r="G775" s="21">
        <v>50618.25</v>
      </c>
      <c r="H775" s="21">
        <v>50618.25</v>
      </c>
      <c r="I775" s="21">
        <v>50618.25</v>
      </c>
      <c r="J775" s="21">
        <v>50618.25</v>
      </c>
      <c r="K775" s="21">
        <v>50618.25</v>
      </c>
      <c r="L775" s="21">
        <v>50618.25</v>
      </c>
      <c r="M775" s="21">
        <v>50618.25</v>
      </c>
      <c r="N775" s="21">
        <v>50618.29</v>
      </c>
      <c r="O775" s="29">
        <v>50618.29</v>
      </c>
      <c r="P775" s="21">
        <f>SUM(D775:O775)</f>
        <v>607419.0800000001</v>
      </c>
    </row>
    <row r="776" spans="3:16" ht="13.5" customHeight="1" thickBot="1">
      <c r="C776" s="6" t="s">
        <v>162</v>
      </c>
      <c r="D776" s="22">
        <f aca="true" t="shared" si="75" ref="D776:O776">SUM(D773:D775)</f>
        <v>50868.25</v>
      </c>
      <c r="E776" s="22">
        <f t="shared" si="75"/>
        <v>50618.25</v>
      </c>
      <c r="F776" s="22">
        <f t="shared" si="75"/>
        <v>50618.25</v>
      </c>
      <c r="G776" s="22">
        <f t="shared" si="75"/>
        <v>50618.25</v>
      </c>
      <c r="H776" s="22">
        <f t="shared" si="75"/>
        <v>50618.25</v>
      </c>
      <c r="I776" s="22">
        <f t="shared" si="75"/>
        <v>50618.25</v>
      </c>
      <c r="J776" s="22">
        <f t="shared" si="75"/>
        <v>50618.25</v>
      </c>
      <c r="K776" s="22">
        <f t="shared" si="75"/>
        <v>50618.25</v>
      </c>
      <c r="L776" s="22">
        <f t="shared" si="75"/>
        <v>50618.25</v>
      </c>
      <c r="M776" s="22">
        <f t="shared" si="75"/>
        <v>50618.25</v>
      </c>
      <c r="N776" s="22">
        <f t="shared" si="75"/>
        <v>50618.29</v>
      </c>
      <c r="O776" s="30">
        <f t="shared" si="75"/>
        <v>50618.29</v>
      </c>
      <c r="P776" s="22">
        <f>SUM(P773:P775)</f>
        <v>607669.0800000001</v>
      </c>
    </row>
    <row r="777" ht="13.5" customHeight="1">
      <c r="C777" s="10"/>
    </row>
    <row r="778" spans="1:3" ht="13.5" customHeight="1">
      <c r="A778" s="1">
        <f>A772+1</f>
        <v>38</v>
      </c>
      <c r="B778" s="39"/>
      <c r="C778" s="5" t="s">
        <v>235</v>
      </c>
    </row>
    <row r="779" spans="3:16" ht="13.5" customHeight="1">
      <c r="C779" s="4" t="s">
        <v>3</v>
      </c>
      <c r="D779" s="48">
        <v>1979.58</v>
      </c>
      <c r="E779" s="48">
        <v>1979.58</v>
      </c>
      <c r="F779" s="48">
        <v>1979.58</v>
      </c>
      <c r="G779" s="48">
        <v>1979.58</v>
      </c>
      <c r="H779" s="48">
        <v>1979.58</v>
      </c>
      <c r="I779" s="48">
        <v>1979.58</v>
      </c>
      <c r="J779" s="48">
        <v>1979.58</v>
      </c>
      <c r="K779" s="48">
        <v>1979.58</v>
      </c>
      <c r="L779" s="48">
        <v>1979.58</v>
      </c>
      <c r="M779" s="48">
        <v>1979.58</v>
      </c>
      <c r="N779" s="48">
        <v>1938.75</v>
      </c>
      <c r="O779" s="50">
        <v>1938.75</v>
      </c>
      <c r="P779" s="21">
        <f>SUM(D779:O779)</f>
        <v>23673.300000000003</v>
      </c>
    </row>
    <row r="780" spans="3:16" ht="13.5" customHeight="1">
      <c r="C780" s="4" t="s">
        <v>4</v>
      </c>
      <c r="D780" s="48">
        <v>250</v>
      </c>
      <c r="P780" s="21">
        <f>SUM(D780:O780)</f>
        <v>250</v>
      </c>
    </row>
    <row r="781" spans="3:16" ht="13.5" customHeight="1" thickBot="1">
      <c r="C781" s="4" t="s">
        <v>5</v>
      </c>
      <c r="D781" s="48">
        <f aca="true" t="shared" si="76" ref="D781:M781">40833.33+77741.67</f>
        <v>118575</v>
      </c>
      <c r="E781" s="48">
        <f t="shared" si="76"/>
        <v>118575</v>
      </c>
      <c r="F781" s="48">
        <f t="shared" si="76"/>
        <v>118575</v>
      </c>
      <c r="G781" s="48">
        <f t="shared" si="76"/>
        <v>118575</v>
      </c>
      <c r="H781" s="48">
        <f>40833.33+77741.65</f>
        <v>118574.98</v>
      </c>
      <c r="I781" s="48">
        <f t="shared" si="76"/>
        <v>118575</v>
      </c>
      <c r="J781" s="48">
        <f t="shared" si="76"/>
        <v>118575</v>
      </c>
      <c r="K781" s="48">
        <f t="shared" si="76"/>
        <v>118575</v>
      </c>
      <c r="L781" s="48">
        <f t="shared" si="76"/>
        <v>118575</v>
      </c>
      <c r="M781" s="48">
        <f t="shared" si="76"/>
        <v>118575</v>
      </c>
      <c r="N781" s="48">
        <f>40833.37+77741.65</f>
        <v>118575.01999999999</v>
      </c>
      <c r="O781" s="50">
        <f>42916.67+76108.33</f>
        <v>119025</v>
      </c>
      <c r="P781" s="21">
        <f>SUM(D781:O781)</f>
        <v>1423350</v>
      </c>
    </row>
    <row r="782" spans="3:16" ht="13.5" customHeight="1" thickBot="1">
      <c r="C782" s="6" t="s">
        <v>236</v>
      </c>
      <c r="D782" s="22">
        <f aca="true" t="shared" si="77" ref="D782:O782">SUM(D779:D781)</f>
        <v>120804.58</v>
      </c>
      <c r="E782" s="22">
        <f t="shared" si="77"/>
        <v>120554.58</v>
      </c>
      <c r="F782" s="22">
        <f t="shared" si="77"/>
        <v>120554.58</v>
      </c>
      <c r="G782" s="22">
        <f t="shared" si="77"/>
        <v>120554.58</v>
      </c>
      <c r="H782" s="22">
        <f t="shared" si="77"/>
        <v>120554.56</v>
      </c>
      <c r="I782" s="22">
        <f t="shared" si="77"/>
        <v>120554.58</v>
      </c>
      <c r="J782" s="22">
        <f t="shared" si="77"/>
        <v>120554.58</v>
      </c>
      <c r="K782" s="22">
        <f t="shared" si="77"/>
        <v>120554.58</v>
      </c>
      <c r="L782" s="22">
        <f t="shared" si="77"/>
        <v>120554.58</v>
      </c>
      <c r="M782" s="22">
        <f t="shared" si="77"/>
        <v>120554.58</v>
      </c>
      <c r="N782" s="22">
        <f t="shared" si="77"/>
        <v>120513.76999999999</v>
      </c>
      <c r="O782" s="30">
        <f t="shared" si="77"/>
        <v>120963.75</v>
      </c>
      <c r="P782" s="22">
        <f>SUM(P779:P781)</f>
        <v>1447273.3</v>
      </c>
    </row>
    <row r="783" ht="13.5" customHeight="1">
      <c r="C783" s="10"/>
    </row>
    <row r="784" spans="2:3" ht="13.5" customHeight="1">
      <c r="B784" s="37" t="s">
        <v>104</v>
      </c>
      <c r="C784" s="25" t="s">
        <v>237</v>
      </c>
    </row>
    <row r="785" ht="13.5" customHeight="1">
      <c r="C785" s="4" t="s">
        <v>3</v>
      </c>
    </row>
    <row r="786" ht="13.5" customHeight="1">
      <c r="C786" s="4" t="s">
        <v>4</v>
      </c>
    </row>
    <row r="787" ht="13.5" customHeight="1" thickBot="1">
      <c r="C787" s="4" t="s">
        <v>5</v>
      </c>
    </row>
    <row r="788" ht="13.5" customHeight="1" thickBot="1">
      <c r="C788" s="6" t="s">
        <v>158</v>
      </c>
    </row>
    <row r="789" ht="13.5" customHeight="1">
      <c r="C789" s="10"/>
    </row>
    <row r="790" spans="1:3" ht="13.5" customHeight="1">
      <c r="A790" s="1">
        <f>A778+1</f>
        <v>39</v>
      </c>
      <c r="B790" s="39"/>
      <c r="C790" s="5" t="s">
        <v>238</v>
      </c>
    </row>
    <row r="791" spans="3:16" ht="13.5" customHeight="1">
      <c r="C791" s="4" t="s">
        <v>3</v>
      </c>
      <c r="D791" s="48">
        <v>454.58</v>
      </c>
      <c r="E791" s="48">
        <v>454.58</v>
      </c>
      <c r="F791" s="48">
        <v>454.58</v>
      </c>
      <c r="G791" s="48">
        <v>454.58</v>
      </c>
      <c r="H791" s="48">
        <v>454.58</v>
      </c>
      <c r="I791" s="48">
        <v>454.58</v>
      </c>
      <c r="J791" s="48">
        <v>454.58</v>
      </c>
      <c r="K791" s="48">
        <v>454.58</v>
      </c>
      <c r="L791" s="48">
        <v>454.58</v>
      </c>
      <c r="M791" s="48">
        <v>454.58</v>
      </c>
      <c r="N791" s="48">
        <v>435.42</v>
      </c>
      <c r="O791" s="50">
        <v>435.42</v>
      </c>
      <c r="P791" s="21">
        <f>SUM(D791:O791)</f>
        <v>5416.64</v>
      </c>
    </row>
    <row r="792" spans="3:16" ht="13.5" customHeight="1">
      <c r="C792" s="4" t="s">
        <v>4</v>
      </c>
      <c r="D792" s="48">
        <v>250</v>
      </c>
      <c r="P792" s="21">
        <f>SUM(D792:O792)</f>
        <v>250</v>
      </c>
    </row>
    <row r="793" spans="3:16" ht="13.5" customHeight="1" thickBot="1">
      <c r="C793" s="4" t="s">
        <v>5</v>
      </c>
      <c r="D793" s="48">
        <f>19166.67+18037.5</f>
        <v>37204.17</v>
      </c>
      <c r="E793" s="48">
        <f>19166.67+18037.5</f>
        <v>37204.17</v>
      </c>
      <c r="F793" s="48">
        <f>19166.67+18037.5</f>
        <v>37204.17</v>
      </c>
      <c r="G793" s="48">
        <f>19166.67+18037.5</f>
        <v>37204.17</v>
      </c>
      <c r="H793" s="48">
        <f>19166.63+18037.5</f>
        <v>37204.130000000005</v>
      </c>
      <c r="I793" s="48">
        <f>19583.33+17270.83</f>
        <v>36854.16</v>
      </c>
      <c r="J793" s="48">
        <f aca="true" t="shared" si="78" ref="J793:O793">19583.33+17270.83</f>
        <v>36854.16</v>
      </c>
      <c r="K793" s="48">
        <f t="shared" si="78"/>
        <v>36854.16</v>
      </c>
      <c r="L793" s="48">
        <f t="shared" si="78"/>
        <v>36854.16</v>
      </c>
      <c r="M793" s="48">
        <f t="shared" si="78"/>
        <v>36854.16</v>
      </c>
      <c r="N793" s="48">
        <f>19583.33+17270.85</f>
        <v>36854.18</v>
      </c>
      <c r="O793" s="50">
        <f t="shared" si="78"/>
        <v>36854.16</v>
      </c>
      <c r="P793" s="21">
        <f>SUM(D793:O793)</f>
        <v>443999.95000000007</v>
      </c>
    </row>
    <row r="794" spans="3:16" ht="13.5" customHeight="1" thickBot="1">
      <c r="C794" s="6" t="s">
        <v>57</v>
      </c>
      <c r="D794" s="22">
        <f aca="true" t="shared" si="79" ref="D794:O794">SUM(D791:D793)</f>
        <v>37908.75</v>
      </c>
      <c r="E794" s="22">
        <f t="shared" si="79"/>
        <v>37658.75</v>
      </c>
      <c r="F794" s="22">
        <f t="shared" si="79"/>
        <v>37658.75</v>
      </c>
      <c r="G794" s="22">
        <f t="shared" si="79"/>
        <v>37658.75</v>
      </c>
      <c r="H794" s="22">
        <f t="shared" si="79"/>
        <v>37658.71000000001</v>
      </c>
      <c r="I794" s="22">
        <f t="shared" si="79"/>
        <v>37308.740000000005</v>
      </c>
      <c r="J794" s="22">
        <f t="shared" si="79"/>
        <v>37308.740000000005</v>
      </c>
      <c r="K794" s="22">
        <f t="shared" si="79"/>
        <v>37308.740000000005</v>
      </c>
      <c r="L794" s="22">
        <f t="shared" si="79"/>
        <v>37308.740000000005</v>
      </c>
      <c r="M794" s="22">
        <f t="shared" si="79"/>
        <v>37308.740000000005</v>
      </c>
      <c r="N794" s="22">
        <f t="shared" si="79"/>
        <v>37289.6</v>
      </c>
      <c r="O794" s="30">
        <f t="shared" si="79"/>
        <v>37289.58</v>
      </c>
      <c r="P794" s="22">
        <f>SUM(P791:P793)</f>
        <v>449666.5900000001</v>
      </c>
    </row>
    <row r="795" ht="13.5" customHeight="1">
      <c r="C795" s="10"/>
    </row>
    <row r="796" spans="2:3" ht="13.5" customHeight="1">
      <c r="B796" s="37" t="s">
        <v>104</v>
      </c>
      <c r="C796" s="25" t="s">
        <v>239</v>
      </c>
    </row>
    <row r="797" ht="13.5" customHeight="1">
      <c r="C797" s="4" t="s">
        <v>3</v>
      </c>
    </row>
    <row r="798" ht="13.5" customHeight="1">
      <c r="C798" s="4" t="s">
        <v>4</v>
      </c>
    </row>
    <row r="799" ht="13.5" customHeight="1" thickBot="1">
      <c r="C799" s="4" t="s">
        <v>5</v>
      </c>
    </row>
    <row r="800" ht="13.5" customHeight="1" thickBot="1">
      <c r="C800" s="6" t="s">
        <v>240</v>
      </c>
    </row>
    <row r="801" ht="13.5" customHeight="1">
      <c r="C801" s="10"/>
    </row>
    <row r="802" spans="1:3" ht="13.5" customHeight="1">
      <c r="A802" s="1">
        <f>A790+1</f>
        <v>40</v>
      </c>
      <c r="B802" s="39"/>
      <c r="C802" s="5" t="s">
        <v>241</v>
      </c>
    </row>
    <row r="803" spans="3:16" ht="13.5" customHeight="1">
      <c r="C803" s="4" t="s">
        <v>3</v>
      </c>
      <c r="D803" s="21">
        <v>1048.33</v>
      </c>
      <c r="E803" s="21">
        <v>1048.33</v>
      </c>
      <c r="F803" s="21">
        <v>1048.33</v>
      </c>
      <c r="G803" s="21">
        <v>1048.33</v>
      </c>
      <c r="H803" s="21">
        <v>1048.33</v>
      </c>
      <c r="I803" s="21">
        <v>1048.33</v>
      </c>
      <c r="J803" s="21">
        <v>1048.33</v>
      </c>
      <c r="K803" s="21">
        <v>1048.33</v>
      </c>
      <c r="L803" s="21">
        <v>1048.33</v>
      </c>
      <c r="M803" s="21">
        <v>1048.33</v>
      </c>
      <c r="N803" s="21">
        <v>1048.33</v>
      </c>
      <c r="O803" s="29">
        <v>1027.08</v>
      </c>
      <c r="P803" s="21">
        <f>SUM(D803:O803)</f>
        <v>12558.71</v>
      </c>
    </row>
    <row r="804" spans="3:16" ht="13.5" customHeight="1">
      <c r="C804" s="4" t="s">
        <v>4</v>
      </c>
      <c r="D804" s="48">
        <v>250</v>
      </c>
      <c r="P804" s="21">
        <f>SUM(D804:O804)</f>
        <v>250</v>
      </c>
    </row>
    <row r="805" spans="3:16" ht="13.5" customHeight="1" thickBot="1">
      <c r="C805" s="4" t="s">
        <v>5</v>
      </c>
      <c r="D805" s="48">
        <f>21250+43423.95</f>
        <v>64673.95</v>
      </c>
      <c r="E805" s="48">
        <f>22083.33+42573.96</f>
        <v>64657.29</v>
      </c>
      <c r="F805" s="48">
        <f aca="true" t="shared" si="80" ref="F805:O805">22083.33+42573.96</f>
        <v>64657.29</v>
      </c>
      <c r="G805" s="48">
        <f t="shared" si="80"/>
        <v>64657.29</v>
      </c>
      <c r="H805" s="48">
        <f t="shared" si="80"/>
        <v>64657.29</v>
      </c>
      <c r="I805" s="48">
        <f t="shared" si="80"/>
        <v>64657.29</v>
      </c>
      <c r="J805" s="48">
        <f>22083.33+42573.95</f>
        <v>64657.28</v>
      </c>
      <c r="K805" s="48">
        <f t="shared" si="80"/>
        <v>64657.29</v>
      </c>
      <c r="L805" s="48">
        <f t="shared" si="80"/>
        <v>64657.29</v>
      </c>
      <c r="M805" s="48">
        <f t="shared" si="80"/>
        <v>64657.29</v>
      </c>
      <c r="N805" s="48">
        <f t="shared" si="80"/>
        <v>64657.29</v>
      </c>
      <c r="O805" s="50">
        <f t="shared" si="80"/>
        <v>64657.29</v>
      </c>
      <c r="P805" s="21">
        <f>SUM(D805:O805)</f>
        <v>775904.13</v>
      </c>
    </row>
    <row r="806" spans="3:16" ht="13.5" customHeight="1" thickBot="1">
      <c r="C806" s="6" t="s">
        <v>242</v>
      </c>
      <c r="D806" s="22">
        <f aca="true" t="shared" si="81" ref="D806:O806">SUM(D803:D805)</f>
        <v>65972.28</v>
      </c>
      <c r="E806" s="22">
        <f t="shared" si="81"/>
        <v>65705.62</v>
      </c>
      <c r="F806" s="22">
        <f t="shared" si="81"/>
        <v>65705.62</v>
      </c>
      <c r="G806" s="22">
        <f t="shared" si="81"/>
        <v>65705.62</v>
      </c>
      <c r="H806" s="22">
        <f t="shared" si="81"/>
        <v>65705.62</v>
      </c>
      <c r="I806" s="22">
        <f t="shared" si="81"/>
        <v>65705.62</v>
      </c>
      <c r="J806" s="22">
        <f t="shared" si="81"/>
        <v>65705.61</v>
      </c>
      <c r="K806" s="22">
        <f t="shared" si="81"/>
        <v>65705.62</v>
      </c>
      <c r="L806" s="22">
        <f t="shared" si="81"/>
        <v>65705.62</v>
      </c>
      <c r="M806" s="22">
        <f t="shared" si="81"/>
        <v>65705.62</v>
      </c>
      <c r="N806" s="22">
        <f t="shared" si="81"/>
        <v>65705.62</v>
      </c>
      <c r="O806" s="30">
        <f t="shared" si="81"/>
        <v>65684.37</v>
      </c>
      <c r="P806" s="22">
        <f>SUM(P803:P805)</f>
        <v>788712.84</v>
      </c>
    </row>
    <row r="807" ht="13.5" customHeight="1">
      <c r="C807" s="10"/>
    </row>
    <row r="808" spans="2:3" ht="13.5" customHeight="1">
      <c r="B808" s="37" t="s">
        <v>104</v>
      </c>
      <c r="C808" s="25" t="s">
        <v>243</v>
      </c>
    </row>
    <row r="809" ht="13.5" customHeight="1">
      <c r="C809" s="4" t="s">
        <v>3</v>
      </c>
    </row>
    <row r="810" ht="13.5" customHeight="1">
      <c r="C810" s="4" t="s">
        <v>4</v>
      </c>
    </row>
    <row r="811" ht="13.5" customHeight="1" thickBot="1">
      <c r="C811" s="4" t="s">
        <v>5</v>
      </c>
    </row>
    <row r="812" ht="13.5" customHeight="1" thickBot="1">
      <c r="C812" s="6" t="s">
        <v>244</v>
      </c>
    </row>
    <row r="813" ht="13.5" customHeight="1">
      <c r="C813" s="10"/>
    </row>
    <row r="814" spans="1:3" ht="13.5" customHeight="1">
      <c r="A814" s="1">
        <f>A802+1</f>
        <v>41</v>
      </c>
      <c r="B814" s="39"/>
      <c r="C814" s="5" t="s">
        <v>245</v>
      </c>
    </row>
    <row r="815" spans="3:16" ht="13.5" customHeight="1">
      <c r="C815" s="4" t="s">
        <v>3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9">
        <v>0</v>
      </c>
      <c r="P815" s="21">
        <f>SUM(D815:O815)</f>
        <v>0</v>
      </c>
    </row>
    <row r="816" spans="3:16" ht="13.5" customHeight="1">
      <c r="C816" s="4" t="s">
        <v>4</v>
      </c>
      <c r="D816" s="48">
        <v>250</v>
      </c>
      <c r="P816" s="21">
        <f>SUM(D816:O816)</f>
        <v>250</v>
      </c>
    </row>
    <row r="817" spans="3:16" ht="13.5" customHeight="1" thickBot="1">
      <c r="C817" s="4" t="s">
        <v>5</v>
      </c>
      <c r="D817" s="48">
        <v>43479.99</v>
      </c>
      <c r="E817" s="48">
        <v>43479.99</v>
      </c>
      <c r="F817" s="48">
        <v>43479.99</v>
      </c>
      <c r="G817" s="48">
        <v>43479.99</v>
      </c>
      <c r="H817" s="48">
        <v>43479.99</v>
      </c>
      <c r="I817" s="48">
        <v>43479.99</v>
      </c>
      <c r="J817" s="48">
        <v>43479.99</v>
      </c>
      <c r="K817" s="48">
        <v>43479.99</v>
      </c>
      <c r="L817" s="48">
        <v>43479.99</v>
      </c>
      <c r="M817" s="48">
        <v>43479.99</v>
      </c>
      <c r="N817" s="48">
        <v>43479.99</v>
      </c>
      <c r="O817" s="50">
        <v>43479.99</v>
      </c>
      <c r="P817" s="21">
        <f>SUM(D817:O817)</f>
        <v>521759.87999999995</v>
      </c>
    </row>
    <row r="818" spans="3:16" ht="13.5" customHeight="1" thickBot="1">
      <c r="C818" s="6" t="s">
        <v>137</v>
      </c>
      <c r="D818" s="22">
        <f aca="true" t="shared" si="82" ref="D818:O818">SUM(D815:D817)</f>
        <v>43729.99</v>
      </c>
      <c r="E818" s="22">
        <f t="shared" si="82"/>
        <v>43479.99</v>
      </c>
      <c r="F818" s="22">
        <f t="shared" si="82"/>
        <v>43479.99</v>
      </c>
      <c r="G818" s="22">
        <f t="shared" si="82"/>
        <v>43479.99</v>
      </c>
      <c r="H818" s="22">
        <f t="shared" si="82"/>
        <v>43479.99</v>
      </c>
      <c r="I818" s="22">
        <f t="shared" si="82"/>
        <v>43479.99</v>
      </c>
      <c r="J818" s="22">
        <f t="shared" si="82"/>
        <v>43479.99</v>
      </c>
      <c r="K818" s="22">
        <f t="shared" si="82"/>
        <v>43479.99</v>
      </c>
      <c r="L818" s="22">
        <f t="shared" si="82"/>
        <v>43479.99</v>
      </c>
      <c r="M818" s="22">
        <f t="shared" si="82"/>
        <v>43479.99</v>
      </c>
      <c r="N818" s="22">
        <f t="shared" si="82"/>
        <v>43479.99</v>
      </c>
      <c r="O818" s="30">
        <f t="shared" si="82"/>
        <v>43479.99</v>
      </c>
      <c r="P818" s="22">
        <f>SUM(P815:P817)</f>
        <v>522009.87999999995</v>
      </c>
    </row>
    <row r="819" ht="13.5" customHeight="1">
      <c r="C819" s="10"/>
    </row>
    <row r="820" spans="1:3" ht="13.5" customHeight="1">
      <c r="A820" s="1">
        <f>A814+1</f>
        <v>42</v>
      </c>
      <c r="B820" s="39"/>
      <c r="C820" s="5" t="s">
        <v>246</v>
      </c>
    </row>
    <row r="821" spans="3:16" ht="13.5" customHeight="1">
      <c r="C821" s="4" t="s">
        <v>3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9">
        <v>0</v>
      </c>
      <c r="P821" s="21">
        <f>SUM(D821:O821)</f>
        <v>0</v>
      </c>
    </row>
    <row r="822" spans="3:16" ht="13.5" customHeight="1">
      <c r="C822" s="4" t="s">
        <v>4</v>
      </c>
      <c r="D822" s="48">
        <v>250</v>
      </c>
      <c r="P822" s="21">
        <f>SUM(D822:O822)</f>
        <v>250</v>
      </c>
    </row>
    <row r="823" spans="3:16" ht="13.5" customHeight="1" thickBot="1">
      <c r="C823" s="4" t="s">
        <v>5</v>
      </c>
      <c r="D823" s="48">
        <v>39265.21</v>
      </c>
      <c r="E823" s="48">
        <v>39265.21</v>
      </c>
      <c r="F823" s="48">
        <v>39265.21</v>
      </c>
      <c r="G823" s="48">
        <v>39265.21</v>
      </c>
      <c r="H823" s="48">
        <v>39265.18</v>
      </c>
      <c r="I823" s="48">
        <v>39589.17</v>
      </c>
      <c r="J823" s="48">
        <v>39589.17</v>
      </c>
      <c r="K823" s="48">
        <v>39589.17</v>
      </c>
      <c r="L823" s="48">
        <v>39589.17</v>
      </c>
      <c r="M823" s="48">
        <v>39589.17</v>
      </c>
      <c r="N823" s="48">
        <v>39589.15</v>
      </c>
      <c r="O823" s="50">
        <v>39589.17</v>
      </c>
      <c r="P823" s="21">
        <f>SUM(D823:O823)</f>
        <v>473450.18999999994</v>
      </c>
    </row>
    <row r="824" spans="3:16" ht="13.5" customHeight="1" thickBot="1">
      <c r="C824" s="6" t="s">
        <v>146</v>
      </c>
      <c r="D824" s="22">
        <f aca="true" t="shared" si="83" ref="D824:O824">SUM(D821:D823)</f>
        <v>39515.21</v>
      </c>
      <c r="E824" s="22">
        <f t="shared" si="83"/>
        <v>39265.21</v>
      </c>
      <c r="F824" s="22">
        <f t="shared" si="83"/>
        <v>39265.21</v>
      </c>
      <c r="G824" s="22">
        <f t="shared" si="83"/>
        <v>39265.21</v>
      </c>
      <c r="H824" s="22">
        <f t="shared" si="83"/>
        <v>39265.18</v>
      </c>
      <c r="I824" s="22">
        <f t="shared" si="83"/>
        <v>39589.17</v>
      </c>
      <c r="J824" s="22">
        <f t="shared" si="83"/>
        <v>39589.17</v>
      </c>
      <c r="K824" s="22">
        <f t="shared" si="83"/>
        <v>39589.17</v>
      </c>
      <c r="L824" s="22">
        <f t="shared" si="83"/>
        <v>39589.17</v>
      </c>
      <c r="M824" s="22">
        <f t="shared" si="83"/>
        <v>39589.17</v>
      </c>
      <c r="N824" s="22">
        <f t="shared" si="83"/>
        <v>39589.15</v>
      </c>
      <c r="O824" s="30">
        <f t="shared" si="83"/>
        <v>39589.17</v>
      </c>
      <c r="P824" s="22">
        <f>SUM(P821:P823)</f>
        <v>473700.18999999994</v>
      </c>
    </row>
    <row r="825" ht="13.5" customHeight="1">
      <c r="C825" s="10"/>
    </row>
    <row r="826" spans="1:3" ht="13.5" customHeight="1">
      <c r="A826" s="1">
        <f>A820+1</f>
        <v>43</v>
      </c>
      <c r="B826" s="39"/>
      <c r="C826" s="5" t="s">
        <v>247</v>
      </c>
    </row>
    <row r="827" spans="3:16" ht="13.5" customHeight="1">
      <c r="C827" s="4" t="s">
        <v>3</v>
      </c>
      <c r="D827" s="48">
        <v>1693.75</v>
      </c>
      <c r="E827" s="48">
        <v>1693.75</v>
      </c>
      <c r="F827" s="48">
        <v>1693.75</v>
      </c>
      <c r="G827" s="48">
        <v>1693.75</v>
      </c>
      <c r="H827" s="48">
        <v>1693.75</v>
      </c>
      <c r="I827" s="48">
        <v>1693.75</v>
      </c>
      <c r="J827" s="48">
        <v>1693.75</v>
      </c>
      <c r="K827" s="48">
        <v>1693.75</v>
      </c>
      <c r="L827" s="48">
        <v>1693.75</v>
      </c>
      <c r="M827" s="48">
        <v>1693.75</v>
      </c>
      <c r="N827" s="48">
        <v>1693.75</v>
      </c>
      <c r="O827" s="50">
        <v>1693.75</v>
      </c>
      <c r="P827" s="21">
        <f>SUM(D827:O827)</f>
        <v>20325</v>
      </c>
    </row>
    <row r="828" spans="3:16" ht="13.5" customHeight="1">
      <c r="C828" s="4" t="s">
        <v>4</v>
      </c>
      <c r="D828" s="48">
        <v>250</v>
      </c>
      <c r="P828" s="21">
        <f>SUM(D828:O828)</f>
        <v>250</v>
      </c>
    </row>
    <row r="829" spans="3:16" ht="13.5" customHeight="1" thickBot="1">
      <c r="C829" s="4" t="s">
        <v>5</v>
      </c>
      <c r="D829" s="48">
        <f aca="true" t="shared" si="84" ref="D829:M829">35833.33+66965.63</f>
        <v>102798.96</v>
      </c>
      <c r="E829" s="48">
        <f t="shared" si="84"/>
        <v>102798.96</v>
      </c>
      <c r="F829" s="48">
        <f t="shared" si="84"/>
        <v>102798.96</v>
      </c>
      <c r="G829" s="48">
        <f t="shared" si="84"/>
        <v>102798.96</v>
      </c>
      <c r="H829" s="48">
        <f>35833.33+66965.6</f>
        <v>102798.93000000001</v>
      </c>
      <c r="I829" s="48">
        <f t="shared" si="84"/>
        <v>102798.96</v>
      </c>
      <c r="J829" s="48">
        <f t="shared" si="84"/>
        <v>102798.96</v>
      </c>
      <c r="K829" s="48">
        <f t="shared" si="84"/>
        <v>102798.96</v>
      </c>
      <c r="L829" s="48">
        <f t="shared" si="84"/>
        <v>102798.96</v>
      </c>
      <c r="M829" s="48">
        <f t="shared" si="84"/>
        <v>102798.96</v>
      </c>
      <c r="N829" s="48">
        <f>35833.37+66965.6</f>
        <v>102798.97</v>
      </c>
      <c r="O829" s="50">
        <f>37500+65532.29</f>
        <v>103032.29000000001</v>
      </c>
      <c r="P829" s="21">
        <f>SUM(D829:O829)</f>
        <v>1233820.8299999998</v>
      </c>
    </row>
    <row r="830" spans="3:16" ht="13.5" customHeight="1" thickBot="1">
      <c r="C830" s="6" t="s">
        <v>62</v>
      </c>
      <c r="D830" s="22">
        <f aca="true" t="shared" si="85" ref="D830:O830">SUM(D827:D829)</f>
        <v>104742.71</v>
      </c>
      <c r="E830" s="22">
        <f t="shared" si="85"/>
        <v>104492.71</v>
      </c>
      <c r="F830" s="22">
        <f t="shared" si="85"/>
        <v>104492.71</v>
      </c>
      <c r="G830" s="22">
        <f t="shared" si="85"/>
        <v>104492.71</v>
      </c>
      <c r="H830" s="22">
        <f t="shared" si="85"/>
        <v>104492.68000000001</v>
      </c>
      <c r="I830" s="22">
        <f t="shared" si="85"/>
        <v>104492.71</v>
      </c>
      <c r="J830" s="22">
        <f t="shared" si="85"/>
        <v>104492.71</v>
      </c>
      <c r="K830" s="22">
        <f t="shared" si="85"/>
        <v>104492.71</v>
      </c>
      <c r="L830" s="22">
        <f t="shared" si="85"/>
        <v>104492.71</v>
      </c>
      <c r="M830" s="22">
        <f t="shared" si="85"/>
        <v>104492.71</v>
      </c>
      <c r="N830" s="22">
        <f t="shared" si="85"/>
        <v>104492.72</v>
      </c>
      <c r="O830" s="30">
        <f t="shared" si="85"/>
        <v>104726.04000000001</v>
      </c>
      <c r="P830" s="22">
        <f>SUM(P827:P829)</f>
        <v>1254395.8299999998</v>
      </c>
    </row>
    <row r="831" ht="13.5" customHeight="1">
      <c r="C831" s="10"/>
    </row>
    <row r="832" spans="1:3" ht="13.5" customHeight="1">
      <c r="A832" s="1">
        <f>A826+1</f>
        <v>44</v>
      </c>
      <c r="B832" s="39"/>
      <c r="C832" s="5" t="s">
        <v>251</v>
      </c>
    </row>
    <row r="833" spans="3:16" ht="13.5" customHeight="1">
      <c r="C833" s="4" t="s">
        <v>3</v>
      </c>
      <c r="D833" s="48">
        <v>418.33</v>
      </c>
      <c r="E833" s="48">
        <v>397.5</v>
      </c>
      <c r="F833" s="48">
        <v>397.5</v>
      </c>
      <c r="G833" s="48">
        <v>397.5</v>
      </c>
      <c r="H833" s="48">
        <v>397.5</v>
      </c>
      <c r="I833" s="48">
        <v>397.5</v>
      </c>
      <c r="J833" s="48">
        <v>397.5</v>
      </c>
      <c r="K833" s="48">
        <v>397.5</v>
      </c>
      <c r="L833" s="48">
        <v>397.5</v>
      </c>
      <c r="M833" s="48">
        <v>397.5</v>
      </c>
      <c r="N833" s="48">
        <v>397.5</v>
      </c>
      <c r="O833" s="50">
        <v>397.5</v>
      </c>
      <c r="P833" s="21">
        <f>SUM(D833:O833)</f>
        <v>4790.83</v>
      </c>
    </row>
    <row r="834" spans="3:16" ht="13.5" customHeight="1">
      <c r="C834" s="4" t="s">
        <v>4</v>
      </c>
      <c r="D834" s="48">
        <v>250</v>
      </c>
      <c r="P834" s="21">
        <f>SUM(D834:O834)</f>
        <v>250</v>
      </c>
    </row>
    <row r="835" spans="3:16" ht="13.5" customHeight="1" thickBot="1">
      <c r="C835" s="4" t="s">
        <v>5</v>
      </c>
      <c r="D835" s="48">
        <f>21666.67+14525</f>
        <v>36191.67</v>
      </c>
      <c r="E835" s="48">
        <f>21666.67+14525</f>
        <v>36191.67</v>
      </c>
      <c r="F835" s="48">
        <f>21666.67+14525</f>
        <v>36191.67</v>
      </c>
      <c r="G835" s="48">
        <f>21666.67+14525</f>
        <v>36191.67</v>
      </c>
      <c r="H835" s="48">
        <f>21666.63+14525</f>
        <v>36191.630000000005</v>
      </c>
      <c r="I835" s="48">
        <f>22500+13875</f>
        <v>36375</v>
      </c>
      <c r="J835" s="48">
        <f aca="true" t="shared" si="86" ref="J835:O835">22500+13875</f>
        <v>36375</v>
      </c>
      <c r="K835" s="48">
        <f t="shared" si="86"/>
        <v>36375</v>
      </c>
      <c r="L835" s="48">
        <f t="shared" si="86"/>
        <v>36375</v>
      </c>
      <c r="M835" s="48">
        <f t="shared" si="86"/>
        <v>36375</v>
      </c>
      <c r="N835" s="48">
        <f t="shared" si="86"/>
        <v>36375</v>
      </c>
      <c r="O835" s="50">
        <f t="shared" si="86"/>
        <v>36375</v>
      </c>
      <c r="P835" s="21">
        <f>SUM(D835:O835)</f>
        <v>435583.31</v>
      </c>
    </row>
    <row r="836" spans="3:16" ht="13.5" customHeight="1" thickBot="1">
      <c r="C836" s="6" t="s">
        <v>16</v>
      </c>
      <c r="D836" s="22">
        <f aca="true" t="shared" si="87" ref="D836:O836">SUM(D833:D835)</f>
        <v>36860</v>
      </c>
      <c r="E836" s="22">
        <f t="shared" si="87"/>
        <v>36589.17</v>
      </c>
      <c r="F836" s="22">
        <f t="shared" si="87"/>
        <v>36589.17</v>
      </c>
      <c r="G836" s="22">
        <f t="shared" si="87"/>
        <v>36589.17</v>
      </c>
      <c r="H836" s="22">
        <f t="shared" si="87"/>
        <v>36589.130000000005</v>
      </c>
      <c r="I836" s="22">
        <f t="shared" si="87"/>
        <v>36772.5</v>
      </c>
      <c r="J836" s="22">
        <f t="shared" si="87"/>
        <v>36772.5</v>
      </c>
      <c r="K836" s="22">
        <f t="shared" si="87"/>
        <v>36772.5</v>
      </c>
      <c r="L836" s="22">
        <f t="shared" si="87"/>
        <v>36772.5</v>
      </c>
      <c r="M836" s="22">
        <f t="shared" si="87"/>
        <v>36772.5</v>
      </c>
      <c r="N836" s="22">
        <f t="shared" si="87"/>
        <v>36772.5</v>
      </c>
      <c r="O836" s="30">
        <f t="shared" si="87"/>
        <v>36772.5</v>
      </c>
      <c r="P836" s="22">
        <f>SUM(P833:P835)</f>
        <v>440624.14</v>
      </c>
    </row>
    <row r="837" ht="13.5" customHeight="1">
      <c r="C837" s="10"/>
    </row>
    <row r="838" spans="1:3" ht="13.5" customHeight="1">
      <c r="A838" s="1">
        <f>A832+1</f>
        <v>45</v>
      </c>
      <c r="B838" s="39"/>
      <c r="C838" s="5" t="s">
        <v>252</v>
      </c>
    </row>
    <row r="839" spans="3:16" ht="13.5" customHeight="1">
      <c r="C839" s="4" t="s">
        <v>3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9">
        <v>0</v>
      </c>
      <c r="P839" s="21">
        <f>SUM(D839:O839)</f>
        <v>0</v>
      </c>
    </row>
    <row r="840" spans="3:16" ht="13.5" customHeight="1">
      <c r="C840" s="4" t="s">
        <v>4</v>
      </c>
      <c r="D840" s="48">
        <v>250</v>
      </c>
      <c r="P840" s="21">
        <f>SUM(D840:O840)</f>
        <v>250</v>
      </c>
    </row>
    <row r="841" spans="3:16" ht="13.5" customHeight="1" thickBot="1">
      <c r="C841" s="4" t="s">
        <v>5</v>
      </c>
      <c r="D841" s="48">
        <f>35416.67+81786.46</f>
        <v>117203.13</v>
      </c>
      <c r="E841" s="48">
        <f aca="true" t="shared" si="88" ref="E841:N841">35416.67+81786.46</f>
        <v>117203.13</v>
      </c>
      <c r="F841" s="48">
        <f t="shared" si="88"/>
        <v>117203.13</v>
      </c>
      <c r="G841" s="48">
        <f t="shared" si="88"/>
        <v>117203.13</v>
      </c>
      <c r="H841" s="48">
        <f t="shared" si="88"/>
        <v>117203.13</v>
      </c>
      <c r="I841" s="48">
        <f>35416.67+81786.45</f>
        <v>117203.12</v>
      </c>
      <c r="J841" s="48">
        <f t="shared" si="88"/>
        <v>117203.13</v>
      </c>
      <c r="K841" s="48">
        <f t="shared" si="88"/>
        <v>117203.13</v>
      </c>
      <c r="L841" s="48">
        <f t="shared" si="88"/>
        <v>117203.13</v>
      </c>
      <c r="M841" s="48">
        <f t="shared" si="88"/>
        <v>117203.13</v>
      </c>
      <c r="N841" s="48">
        <f t="shared" si="88"/>
        <v>117203.13</v>
      </c>
      <c r="O841" s="50">
        <f>35416.63+81786.45</f>
        <v>117203.07999999999</v>
      </c>
      <c r="P841" s="21">
        <f>SUM(D841:O841)</f>
        <v>1406437.5</v>
      </c>
    </row>
    <row r="842" spans="3:16" ht="13.5" customHeight="1" thickBot="1">
      <c r="C842" s="6" t="s">
        <v>253</v>
      </c>
      <c r="D842" s="22">
        <f aca="true" t="shared" si="89" ref="D842:O842">SUM(D839:D841)</f>
        <v>117453.13</v>
      </c>
      <c r="E842" s="22">
        <f t="shared" si="89"/>
        <v>117203.13</v>
      </c>
      <c r="F842" s="22">
        <f t="shared" si="89"/>
        <v>117203.13</v>
      </c>
      <c r="G842" s="22">
        <f t="shared" si="89"/>
        <v>117203.13</v>
      </c>
      <c r="H842" s="22">
        <f t="shared" si="89"/>
        <v>117203.13</v>
      </c>
      <c r="I842" s="22">
        <f t="shared" si="89"/>
        <v>117203.12</v>
      </c>
      <c r="J842" s="22">
        <f t="shared" si="89"/>
        <v>117203.13</v>
      </c>
      <c r="K842" s="22">
        <f t="shared" si="89"/>
        <v>117203.13</v>
      </c>
      <c r="L842" s="22">
        <f t="shared" si="89"/>
        <v>117203.13</v>
      </c>
      <c r="M842" s="22">
        <f t="shared" si="89"/>
        <v>117203.13</v>
      </c>
      <c r="N842" s="22">
        <f t="shared" si="89"/>
        <v>117203.13</v>
      </c>
      <c r="O842" s="30">
        <f t="shared" si="89"/>
        <v>117203.07999999999</v>
      </c>
      <c r="P842" s="22">
        <f>SUM(P839:P841)</f>
        <v>1406687.5</v>
      </c>
    </row>
    <row r="843" ht="13.5" customHeight="1">
      <c r="C843" s="10"/>
    </row>
    <row r="844" spans="2:3" ht="13.5" customHeight="1">
      <c r="B844" s="37" t="s">
        <v>104</v>
      </c>
      <c r="C844" s="25" t="s">
        <v>254</v>
      </c>
    </row>
    <row r="845" ht="13.5" customHeight="1">
      <c r="C845" s="4" t="s">
        <v>3</v>
      </c>
    </row>
    <row r="846" ht="13.5" customHeight="1">
      <c r="C846" s="4" t="s">
        <v>4</v>
      </c>
    </row>
    <row r="847" ht="13.5" customHeight="1" thickBot="1">
      <c r="C847" s="4" t="s">
        <v>5</v>
      </c>
    </row>
    <row r="848" ht="13.5" customHeight="1" thickBot="1">
      <c r="C848" s="6" t="s">
        <v>115</v>
      </c>
    </row>
    <row r="849" ht="13.5" customHeight="1">
      <c r="C849" s="10"/>
    </row>
    <row r="850" spans="2:3" ht="13.5" customHeight="1">
      <c r="B850" s="37" t="s">
        <v>104</v>
      </c>
      <c r="C850" s="25" t="s">
        <v>256</v>
      </c>
    </row>
    <row r="851" ht="13.5" customHeight="1">
      <c r="C851" s="4" t="s">
        <v>3</v>
      </c>
    </row>
    <row r="852" ht="13.5" customHeight="1">
      <c r="C852" s="4" t="s">
        <v>4</v>
      </c>
    </row>
    <row r="853" ht="13.5" customHeight="1" thickBot="1">
      <c r="C853" s="4" t="s">
        <v>5</v>
      </c>
    </row>
    <row r="854" ht="13.5" customHeight="1" thickBot="1">
      <c r="C854" s="6" t="s">
        <v>255</v>
      </c>
    </row>
    <row r="855" ht="13.5" customHeight="1">
      <c r="C855" s="10"/>
    </row>
    <row r="856" spans="1:3" ht="13.5" customHeight="1">
      <c r="A856" s="1">
        <f>A838+1</f>
        <v>46</v>
      </c>
      <c r="B856" s="39"/>
      <c r="C856" s="5" t="s">
        <v>257</v>
      </c>
    </row>
    <row r="857" spans="3:16" ht="13.5" customHeight="1">
      <c r="C857" s="4" t="s">
        <v>3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9">
        <v>0</v>
      </c>
      <c r="P857" s="21">
        <f>SUM(D857:O857)</f>
        <v>0</v>
      </c>
    </row>
    <row r="858" spans="3:16" ht="13.5" customHeight="1">
      <c r="C858" s="4" t="s">
        <v>4</v>
      </c>
      <c r="D858" s="48">
        <v>250</v>
      </c>
      <c r="P858" s="21">
        <f>SUM(D858:O858)</f>
        <v>250</v>
      </c>
    </row>
    <row r="859" spans="3:16" ht="13.5" customHeight="1" thickBot="1">
      <c r="C859" s="4" t="s">
        <v>5</v>
      </c>
      <c r="D859" s="48">
        <v>101690.11</v>
      </c>
      <c r="E859" s="48">
        <v>101690.11</v>
      </c>
      <c r="F859" s="48">
        <v>101809.9</v>
      </c>
      <c r="G859" s="48">
        <v>101809.9</v>
      </c>
      <c r="H859" s="48">
        <v>101809.9</v>
      </c>
      <c r="I859" s="48">
        <v>101809.9</v>
      </c>
      <c r="J859" s="48">
        <v>101809.9</v>
      </c>
      <c r="K859" s="48">
        <v>101809.9</v>
      </c>
      <c r="L859" s="48">
        <v>101809.9</v>
      </c>
      <c r="M859" s="48">
        <v>101809.9</v>
      </c>
      <c r="N859" s="48">
        <v>101809.9</v>
      </c>
      <c r="O859" s="50">
        <v>101809.9</v>
      </c>
      <c r="P859" s="21">
        <f>SUM(D859:O859)</f>
        <v>1221479.22</v>
      </c>
    </row>
    <row r="860" spans="3:16" ht="13.5" customHeight="1" thickBot="1">
      <c r="C860" s="6" t="s">
        <v>88</v>
      </c>
      <c r="D860" s="22">
        <f aca="true" t="shared" si="90" ref="D860:O860">SUM(D857:D859)</f>
        <v>101940.11</v>
      </c>
      <c r="E860" s="22">
        <f t="shared" si="90"/>
        <v>101690.11</v>
      </c>
      <c r="F860" s="22">
        <f t="shared" si="90"/>
        <v>101809.9</v>
      </c>
      <c r="G860" s="22">
        <f t="shared" si="90"/>
        <v>101809.9</v>
      </c>
      <c r="H860" s="22">
        <f t="shared" si="90"/>
        <v>101809.9</v>
      </c>
      <c r="I860" s="22">
        <f t="shared" si="90"/>
        <v>101809.9</v>
      </c>
      <c r="J860" s="22">
        <f t="shared" si="90"/>
        <v>101809.9</v>
      </c>
      <c r="K860" s="22">
        <f t="shared" si="90"/>
        <v>101809.9</v>
      </c>
      <c r="L860" s="22">
        <f t="shared" si="90"/>
        <v>101809.9</v>
      </c>
      <c r="M860" s="22">
        <f t="shared" si="90"/>
        <v>101809.9</v>
      </c>
      <c r="N860" s="22">
        <f t="shared" si="90"/>
        <v>101809.9</v>
      </c>
      <c r="O860" s="30">
        <f t="shared" si="90"/>
        <v>101809.9</v>
      </c>
      <c r="P860" s="22">
        <f>SUM(P857:P859)</f>
        <v>1221729.22</v>
      </c>
    </row>
    <row r="861" ht="13.5" customHeight="1">
      <c r="C861" s="10"/>
    </row>
    <row r="862" spans="1:3" ht="13.5" customHeight="1">
      <c r="A862" s="1">
        <f>A856+1</f>
        <v>47</v>
      </c>
      <c r="B862" s="39"/>
      <c r="C862" s="5" t="s">
        <v>258</v>
      </c>
    </row>
    <row r="863" spans="3:16" ht="13.5" customHeight="1">
      <c r="C863" s="4" t="s">
        <v>3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9">
        <v>0</v>
      </c>
      <c r="P863" s="21">
        <f>SUM(D863:O863)</f>
        <v>0</v>
      </c>
    </row>
    <row r="864" spans="3:16" ht="13.5" customHeight="1">
      <c r="C864" s="4" t="s">
        <v>4</v>
      </c>
      <c r="D864" s="48">
        <v>250</v>
      </c>
      <c r="P864" s="21">
        <f>SUM(D864:O864)</f>
        <v>250</v>
      </c>
    </row>
    <row r="865" spans="3:16" ht="13.5" customHeight="1" thickBot="1">
      <c r="C865" s="4" t="s">
        <v>5</v>
      </c>
      <c r="D865" s="48">
        <v>178530.17</v>
      </c>
      <c r="E865" s="48">
        <v>178530.17</v>
      </c>
      <c r="F865" s="48">
        <v>178530.17</v>
      </c>
      <c r="G865" s="48">
        <v>178530.17</v>
      </c>
      <c r="H865" s="48">
        <v>178530.17</v>
      </c>
      <c r="I865" s="48">
        <v>172636.33</v>
      </c>
      <c r="J865" s="48">
        <v>172636.33</v>
      </c>
      <c r="K865" s="48">
        <v>172636.33</v>
      </c>
      <c r="L865" s="48">
        <v>172636.33</v>
      </c>
      <c r="M865" s="48">
        <v>172636.33</v>
      </c>
      <c r="N865" s="48">
        <v>172636.33</v>
      </c>
      <c r="O865" s="50">
        <v>179597.24</v>
      </c>
      <c r="P865" s="21">
        <f>SUM(D865:O865)</f>
        <v>2108066.0700000003</v>
      </c>
    </row>
    <row r="866" spans="3:16" ht="13.5" customHeight="1" thickBot="1">
      <c r="C866" s="6" t="s">
        <v>64</v>
      </c>
      <c r="D866" s="22">
        <f aca="true" t="shared" si="91" ref="D866:O866">SUM(D863:D865)</f>
        <v>178780.17</v>
      </c>
      <c r="E866" s="22">
        <f t="shared" si="91"/>
        <v>178530.17</v>
      </c>
      <c r="F866" s="22">
        <f t="shared" si="91"/>
        <v>178530.17</v>
      </c>
      <c r="G866" s="22">
        <f t="shared" si="91"/>
        <v>178530.17</v>
      </c>
      <c r="H866" s="22">
        <f t="shared" si="91"/>
        <v>178530.17</v>
      </c>
      <c r="I866" s="22">
        <f t="shared" si="91"/>
        <v>172636.33</v>
      </c>
      <c r="J866" s="22">
        <f t="shared" si="91"/>
        <v>172636.33</v>
      </c>
      <c r="K866" s="22">
        <f t="shared" si="91"/>
        <v>172636.33</v>
      </c>
      <c r="L866" s="22">
        <f t="shared" si="91"/>
        <v>172636.33</v>
      </c>
      <c r="M866" s="22">
        <f t="shared" si="91"/>
        <v>172636.33</v>
      </c>
      <c r="N866" s="22">
        <f t="shared" si="91"/>
        <v>172636.33</v>
      </c>
      <c r="O866" s="30">
        <f t="shared" si="91"/>
        <v>179597.24</v>
      </c>
      <c r="P866" s="22">
        <f>SUM(P863:P865)</f>
        <v>2108316.0700000003</v>
      </c>
    </row>
    <row r="867" ht="13.5" customHeight="1">
      <c r="C867" s="10"/>
    </row>
    <row r="868" spans="2:3" ht="13.5" customHeight="1">
      <c r="B868" s="37" t="s">
        <v>104</v>
      </c>
      <c r="C868" s="25" t="s">
        <v>259</v>
      </c>
    </row>
    <row r="869" ht="13.5" customHeight="1">
      <c r="C869" s="4" t="s">
        <v>3</v>
      </c>
    </row>
    <row r="870" ht="13.5" customHeight="1">
      <c r="C870" s="4" t="s">
        <v>4</v>
      </c>
    </row>
    <row r="871" ht="13.5" customHeight="1" thickBot="1">
      <c r="C871" s="4" t="s">
        <v>5</v>
      </c>
    </row>
    <row r="872" ht="13.5" customHeight="1" thickBot="1">
      <c r="C872" s="6" t="s">
        <v>260</v>
      </c>
    </row>
    <row r="873" ht="13.5" customHeight="1">
      <c r="C873" s="10"/>
    </row>
    <row r="874" spans="2:3" ht="13.5" customHeight="1">
      <c r="B874" s="37" t="s">
        <v>104</v>
      </c>
      <c r="C874" s="25" t="s">
        <v>261</v>
      </c>
    </row>
    <row r="875" ht="13.5" customHeight="1">
      <c r="C875" s="4" t="s">
        <v>3</v>
      </c>
    </row>
    <row r="876" ht="13.5" customHeight="1">
      <c r="C876" s="4" t="s">
        <v>4</v>
      </c>
    </row>
    <row r="877" ht="13.5" customHeight="1" thickBot="1">
      <c r="C877" s="4" t="s">
        <v>5</v>
      </c>
    </row>
    <row r="878" ht="13.5" customHeight="1" thickBot="1">
      <c r="C878" s="6" t="s">
        <v>262</v>
      </c>
    </row>
    <row r="879" ht="13.5" customHeight="1">
      <c r="C879" s="10"/>
    </row>
    <row r="880" spans="1:3" ht="13.5" customHeight="1">
      <c r="A880" s="1">
        <f>A862+1</f>
        <v>48</v>
      </c>
      <c r="B880" s="39"/>
      <c r="C880" s="5" t="s">
        <v>263</v>
      </c>
    </row>
    <row r="881" spans="3:16" ht="13.5" customHeight="1">
      <c r="C881" s="4" t="s">
        <v>3</v>
      </c>
      <c r="D881" s="21">
        <v>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9">
        <v>0</v>
      </c>
      <c r="P881" s="21">
        <f>SUM(D881:O881)</f>
        <v>0</v>
      </c>
    </row>
    <row r="882" spans="3:16" ht="13.5" customHeight="1">
      <c r="C882" s="4" t="s">
        <v>4</v>
      </c>
      <c r="D882" s="48">
        <v>250</v>
      </c>
      <c r="P882" s="21">
        <f>SUM(D882:O882)</f>
        <v>250</v>
      </c>
    </row>
    <row r="883" spans="3:16" ht="13.5" customHeight="1" thickBot="1">
      <c r="C883" s="4" t="s">
        <v>5</v>
      </c>
      <c r="D883" s="48">
        <f>27916.66+33581.25</f>
        <v>61497.91</v>
      </c>
      <c r="E883" s="48">
        <f>27916.66+33581.25</f>
        <v>61497.91</v>
      </c>
      <c r="F883" s="48">
        <f>27916.66+33581.25</f>
        <v>61497.91</v>
      </c>
      <c r="G883" s="48">
        <f>27916.74+33581.25</f>
        <v>61497.990000000005</v>
      </c>
      <c r="H883" s="48">
        <f>29166.66+32569.27</f>
        <v>61735.93</v>
      </c>
      <c r="I883" s="48">
        <f aca="true" t="shared" si="92" ref="I883:O883">29166.66+32569.27</f>
        <v>61735.93</v>
      </c>
      <c r="J883" s="48">
        <f t="shared" si="92"/>
        <v>61735.93</v>
      </c>
      <c r="K883" s="48">
        <f t="shared" si="92"/>
        <v>61735.93</v>
      </c>
      <c r="L883" s="48">
        <f t="shared" si="92"/>
        <v>61735.93</v>
      </c>
      <c r="M883" s="48">
        <f>29166.66+32569.28</f>
        <v>61735.94</v>
      </c>
      <c r="N883" s="48">
        <f t="shared" si="92"/>
        <v>61735.93</v>
      </c>
      <c r="O883" s="50">
        <f t="shared" si="92"/>
        <v>61735.93</v>
      </c>
      <c r="P883" s="21">
        <f>SUM(D883:O883)</f>
        <v>739879.1700000002</v>
      </c>
    </row>
    <row r="884" spans="3:16" ht="13.5" customHeight="1" thickBot="1">
      <c r="C884" s="6" t="s">
        <v>264</v>
      </c>
      <c r="D884" s="22">
        <f aca="true" t="shared" si="93" ref="D884:O884">SUM(D881:D883)</f>
        <v>61747.91</v>
      </c>
      <c r="E884" s="22">
        <f t="shared" si="93"/>
        <v>61497.91</v>
      </c>
      <c r="F884" s="22">
        <f t="shared" si="93"/>
        <v>61497.91</v>
      </c>
      <c r="G884" s="22">
        <f t="shared" si="93"/>
        <v>61497.990000000005</v>
      </c>
      <c r="H884" s="22">
        <f t="shared" si="93"/>
        <v>61735.93</v>
      </c>
      <c r="I884" s="22">
        <f t="shared" si="93"/>
        <v>61735.93</v>
      </c>
      <c r="J884" s="22">
        <f t="shared" si="93"/>
        <v>61735.93</v>
      </c>
      <c r="K884" s="22">
        <f t="shared" si="93"/>
        <v>61735.93</v>
      </c>
      <c r="L884" s="22">
        <f t="shared" si="93"/>
        <v>61735.93</v>
      </c>
      <c r="M884" s="22">
        <f t="shared" si="93"/>
        <v>61735.94</v>
      </c>
      <c r="N884" s="22">
        <f t="shared" si="93"/>
        <v>61735.93</v>
      </c>
      <c r="O884" s="30">
        <f t="shared" si="93"/>
        <v>61735.93</v>
      </c>
      <c r="P884" s="22">
        <f>SUM(P881:P883)</f>
        <v>740129.1700000002</v>
      </c>
    </row>
    <row r="885" ht="13.5" customHeight="1">
      <c r="C885" s="10"/>
    </row>
    <row r="886" spans="2:3" ht="13.5" customHeight="1">
      <c r="B886" s="37" t="s">
        <v>104</v>
      </c>
      <c r="C886" s="25" t="s">
        <v>265</v>
      </c>
    </row>
    <row r="887" ht="13.5" customHeight="1">
      <c r="C887" s="4" t="s">
        <v>3</v>
      </c>
    </row>
    <row r="888" ht="13.5" customHeight="1">
      <c r="C888" s="4" t="s">
        <v>4</v>
      </c>
    </row>
    <row r="889" ht="13.5" customHeight="1" thickBot="1">
      <c r="C889" s="4" t="s">
        <v>5</v>
      </c>
    </row>
    <row r="890" ht="13.5" customHeight="1" thickBot="1">
      <c r="C890" s="6" t="s">
        <v>266</v>
      </c>
    </row>
    <row r="891" ht="13.5" customHeight="1">
      <c r="C891" s="10"/>
    </row>
    <row r="892" spans="1:3" ht="13.5" customHeight="1">
      <c r="A892" s="1">
        <f>A880+1</f>
        <v>49</v>
      </c>
      <c r="B892" s="39"/>
      <c r="C892" s="5" t="s">
        <v>267</v>
      </c>
    </row>
    <row r="893" spans="3:16" ht="13.5" customHeight="1">
      <c r="C893" s="4" t="s">
        <v>3</v>
      </c>
      <c r="D893" s="48">
        <v>475.42</v>
      </c>
      <c r="E893" s="48">
        <v>475.42</v>
      </c>
      <c r="F893" s="48">
        <v>475.42</v>
      </c>
      <c r="G893" s="48">
        <v>475.42</v>
      </c>
      <c r="H893" s="48">
        <v>475.42</v>
      </c>
      <c r="I893" s="48">
        <v>475.42</v>
      </c>
      <c r="J893" s="48">
        <v>475.42</v>
      </c>
      <c r="K893" s="48">
        <v>464.17</v>
      </c>
      <c r="L893" s="48">
        <v>464.17</v>
      </c>
      <c r="M893" s="48">
        <v>464.17</v>
      </c>
      <c r="N893" s="48">
        <v>464.17</v>
      </c>
      <c r="O893" s="50">
        <v>464.17</v>
      </c>
      <c r="P893" s="21">
        <f>SUM(D893:O893)</f>
        <v>5648.79</v>
      </c>
    </row>
    <row r="894" spans="3:16" ht="13.5" customHeight="1">
      <c r="C894" s="4" t="s">
        <v>4</v>
      </c>
      <c r="D894" s="48">
        <v>250</v>
      </c>
      <c r="P894" s="21">
        <f>SUM(D894:O894)</f>
        <v>250</v>
      </c>
    </row>
    <row r="895" spans="3:16" ht="13.5" customHeight="1" thickBot="1">
      <c r="C895" s="4" t="s">
        <v>5</v>
      </c>
      <c r="D895" s="48">
        <f aca="true" t="shared" si="94" ref="D895:J895">11250+20158.33</f>
        <v>31408.33</v>
      </c>
      <c r="E895" s="48">
        <f>11250+20158.35</f>
        <v>31408.35</v>
      </c>
      <c r="F895" s="48">
        <f t="shared" si="94"/>
        <v>31408.33</v>
      </c>
      <c r="G895" s="48">
        <f t="shared" si="94"/>
        <v>31408.33</v>
      </c>
      <c r="H895" s="48">
        <f t="shared" si="94"/>
        <v>31408.33</v>
      </c>
      <c r="I895" s="48">
        <f t="shared" si="94"/>
        <v>31408.33</v>
      </c>
      <c r="J895" s="48">
        <f t="shared" si="94"/>
        <v>31408.33</v>
      </c>
      <c r="K895" s="48">
        <f>11250+20158.35</f>
        <v>31408.35</v>
      </c>
      <c r="L895" s="48">
        <f>12083.33+19708.33</f>
        <v>31791.660000000003</v>
      </c>
      <c r="M895" s="48">
        <f>12083.33+19708.33</f>
        <v>31791.660000000003</v>
      </c>
      <c r="N895" s="48">
        <f>12083.33+19708.33</f>
        <v>31791.660000000003</v>
      </c>
      <c r="O895" s="50">
        <f>12083.33+19708.33</f>
        <v>31791.660000000003</v>
      </c>
      <c r="P895" s="21">
        <f>SUM(D895:O895)</f>
        <v>378433.32000000007</v>
      </c>
    </row>
    <row r="896" spans="3:16" ht="13.5" customHeight="1" thickBot="1">
      <c r="C896" s="6" t="s">
        <v>268</v>
      </c>
      <c r="D896" s="22">
        <f aca="true" t="shared" si="95" ref="D896:O896">SUM(D893:D895)</f>
        <v>32133.75</v>
      </c>
      <c r="E896" s="22">
        <f t="shared" si="95"/>
        <v>31883.769999999997</v>
      </c>
      <c r="F896" s="22">
        <f t="shared" si="95"/>
        <v>31883.75</v>
      </c>
      <c r="G896" s="22">
        <f t="shared" si="95"/>
        <v>31883.75</v>
      </c>
      <c r="H896" s="22">
        <f t="shared" si="95"/>
        <v>31883.75</v>
      </c>
      <c r="I896" s="22">
        <f t="shared" si="95"/>
        <v>31883.75</v>
      </c>
      <c r="J896" s="22">
        <f t="shared" si="95"/>
        <v>31883.75</v>
      </c>
      <c r="K896" s="22">
        <f t="shared" si="95"/>
        <v>31872.519999999997</v>
      </c>
      <c r="L896" s="22">
        <f t="shared" si="95"/>
        <v>32255.83</v>
      </c>
      <c r="M896" s="22">
        <f t="shared" si="95"/>
        <v>32255.83</v>
      </c>
      <c r="N896" s="22">
        <f t="shared" si="95"/>
        <v>32255.83</v>
      </c>
      <c r="O896" s="30">
        <f t="shared" si="95"/>
        <v>32255.83</v>
      </c>
      <c r="P896" s="22">
        <f>SUM(P893:P895)</f>
        <v>384332.11000000004</v>
      </c>
    </row>
    <row r="897" ht="13.5" customHeight="1">
      <c r="C897" s="10"/>
    </row>
    <row r="898" spans="2:3" ht="13.5" customHeight="1">
      <c r="B898" s="37" t="s">
        <v>104</v>
      </c>
      <c r="C898" s="25" t="s">
        <v>269</v>
      </c>
    </row>
    <row r="899" ht="13.5" customHeight="1">
      <c r="C899" s="4" t="s">
        <v>3</v>
      </c>
    </row>
    <row r="900" ht="13.5" customHeight="1">
      <c r="C900" s="4" t="s">
        <v>4</v>
      </c>
    </row>
    <row r="901" ht="13.5" customHeight="1" thickBot="1">
      <c r="C901" s="4" t="s">
        <v>5</v>
      </c>
    </row>
    <row r="902" ht="13.5" customHeight="1" thickBot="1">
      <c r="C902" s="6" t="s">
        <v>270</v>
      </c>
    </row>
    <row r="903" ht="13.5" customHeight="1">
      <c r="C903" s="10"/>
    </row>
    <row r="904" spans="2:3" ht="13.5" customHeight="1">
      <c r="B904" s="37" t="s">
        <v>104</v>
      </c>
      <c r="C904" s="25" t="s">
        <v>271</v>
      </c>
    </row>
    <row r="905" ht="13.5" customHeight="1">
      <c r="C905" s="4" t="s">
        <v>3</v>
      </c>
    </row>
    <row r="906" ht="13.5" customHeight="1">
      <c r="C906" s="4" t="s">
        <v>4</v>
      </c>
    </row>
    <row r="907" ht="13.5" customHeight="1" thickBot="1">
      <c r="C907" s="4" t="s">
        <v>5</v>
      </c>
    </row>
    <row r="908" ht="13.5" customHeight="1" thickBot="1">
      <c r="C908" s="6" t="s">
        <v>182</v>
      </c>
    </row>
    <row r="909" ht="13.5" customHeight="1">
      <c r="C909" s="10"/>
    </row>
    <row r="910" spans="1:3" ht="13.5" customHeight="1">
      <c r="A910" s="1">
        <f>A892+1</f>
        <v>50</v>
      </c>
      <c r="B910" s="39"/>
      <c r="C910" s="5" t="s">
        <v>273</v>
      </c>
    </row>
    <row r="911" spans="3:16" ht="13.5" customHeight="1">
      <c r="C911" s="4" t="s">
        <v>3</v>
      </c>
      <c r="D911" s="48">
        <v>995.83</v>
      </c>
      <c r="E911" s="48">
        <v>995.83</v>
      </c>
      <c r="F911" s="48">
        <v>995.83</v>
      </c>
      <c r="G911" s="48">
        <v>995.83</v>
      </c>
      <c r="H911" s="48">
        <v>995.83</v>
      </c>
      <c r="I911" s="48">
        <v>995.83</v>
      </c>
      <c r="J911" s="48">
        <v>995.83</v>
      </c>
      <c r="K911" s="48">
        <v>984.58</v>
      </c>
      <c r="L911" s="48">
        <v>984.58</v>
      </c>
      <c r="M911" s="48">
        <v>984.58</v>
      </c>
      <c r="N911" s="48">
        <v>984.58</v>
      </c>
      <c r="O911" s="50">
        <v>961.67</v>
      </c>
      <c r="P911" s="21">
        <f>SUM(D911:O911)</f>
        <v>11870.800000000001</v>
      </c>
    </row>
    <row r="912" spans="3:16" ht="13.5" customHeight="1">
      <c r="C912" s="4" t="s">
        <v>4</v>
      </c>
      <c r="D912" s="48">
        <v>250</v>
      </c>
      <c r="P912" s="21">
        <f>SUM(D912:O912)</f>
        <v>250</v>
      </c>
    </row>
    <row r="913" spans="3:16" ht="13.5" customHeight="1" thickBot="1">
      <c r="C913" s="4" t="s">
        <v>5</v>
      </c>
      <c r="D913" s="48">
        <f>34166.67+40359.38</f>
        <v>74526.04999999999</v>
      </c>
      <c r="E913" s="48">
        <f>34166.67+40359.38</f>
        <v>74526.04999999999</v>
      </c>
      <c r="F913" s="48">
        <f>34166.67+40359.38</f>
        <v>74526.04999999999</v>
      </c>
      <c r="G913" s="48">
        <f>34166.63+40359.35</f>
        <v>74525.98</v>
      </c>
      <c r="H913" s="48">
        <f>35416.67+39221.88</f>
        <v>74638.54999999999</v>
      </c>
      <c r="I913" s="48">
        <f>35416.67+39221.88</f>
        <v>74638.54999999999</v>
      </c>
      <c r="J913" s="48">
        <f>35416.67+39221.88</f>
        <v>74638.54999999999</v>
      </c>
      <c r="K913" s="48">
        <f>35416.67+39221.88</f>
        <v>74638.54999999999</v>
      </c>
      <c r="L913" s="48">
        <f>35416.67+39221.88</f>
        <v>74638.54999999999</v>
      </c>
      <c r="M913" s="49">
        <v>74295.83</v>
      </c>
      <c r="N913" s="49">
        <f>35416.67+39221.88+342.69</f>
        <v>74981.23999999999</v>
      </c>
      <c r="O913" s="50">
        <f>35416.67+39221.88</f>
        <v>74638.54999999999</v>
      </c>
      <c r="P913" s="21">
        <f>SUM(D913:O913)</f>
        <v>895212.4999999998</v>
      </c>
    </row>
    <row r="914" spans="3:16" ht="13.5" customHeight="1" thickBot="1">
      <c r="C914" s="6" t="s">
        <v>117</v>
      </c>
      <c r="D914" s="22">
        <f aca="true" t="shared" si="96" ref="D914:O914">SUM(D911:D913)</f>
        <v>75771.87999999999</v>
      </c>
      <c r="E914" s="22">
        <f t="shared" si="96"/>
        <v>75521.87999999999</v>
      </c>
      <c r="F914" s="22">
        <f t="shared" si="96"/>
        <v>75521.87999999999</v>
      </c>
      <c r="G914" s="22">
        <f t="shared" si="96"/>
        <v>75521.81</v>
      </c>
      <c r="H914" s="22">
        <f t="shared" si="96"/>
        <v>75634.37999999999</v>
      </c>
      <c r="I914" s="22">
        <f t="shared" si="96"/>
        <v>75634.37999999999</v>
      </c>
      <c r="J914" s="22">
        <f t="shared" si="96"/>
        <v>75634.37999999999</v>
      </c>
      <c r="K914" s="22">
        <f t="shared" si="96"/>
        <v>75623.12999999999</v>
      </c>
      <c r="L914" s="22">
        <f t="shared" si="96"/>
        <v>75623.12999999999</v>
      </c>
      <c r="M914" s="22">
        <f t="shared" si="96"/>
        <v>75280.41</v>
      </c>
      <c r="N914" s="22">
        <f t="shared" si="96"/>
        <v>75965.81999999999</v>
      </c>
      <c r="O914" s="30">
        <f t="shared" si="96"/>
        <v>75600.21999999999</v>
      </c>
      <c r="P914" s="22">
        <f>SUM(P911:P913)</f>
        <v>907333.2999999998</v>
      </c>
    </row>
    <row r="915" ht="13.5" customHeight="1">
      <c r="C915" s="10"/>
    </row>
    <row r="916" spans="1:3" ht="13.5" customHeight="1">
      <c r="A916" s="1">
        <f>A910+1</f>
        <v>51</v>
      </c>
      <c r="B916" s="39"/>
      <c r="C916" s="5" t="s">
        <v>274</v>
      </c>
    </row>
    <row r="917" spans="3:16" ht="13.5" customHeight="1">
      <c r="C917" s="4" t="s">
        <v>3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9">
        <v>0</v>
      </c>
      <c r="P917" s="21">
        <f>SUM(D917:O917)</f>
        <v>0</v>
      </c>
    </row>
    <row r="918" spans="3:16" ht="13.5" customHeight="1">
      <c r="C918" s="4" t="s">
        <v>4</v>
      </c>
      <c r="D918" s="48">
        <v>250</v>
      </c>
      <c r="P918" s="21">
        <f>SUM(D918:O918)</f>
        <v>250</v>
      </c>
    </row>
    <row r="919" spans="3:16" ht="13.5" customHeight="1" thickBot="1">
      <c r="C919" s="4" t="s">
        <v>5</v>
      </c>
      <c r="D919" s="48">
        <f aca="true" t="shared" si="97" ref="D919:L919">18333.33+55962.5</f>
        <v>74295.83</v>
      </c>
      <c r="E919" s="48">
        <f t="shared" si="97"/>
        <v>74295.83</v>
      </c>
      <c r="F919" s="48">
        <f t="shared" si="97"/>
        <v>74295.83</v>
      </c>
      <c r="G919" s="48">
        <f t="shared" si="97"/>
        <v>74295.83</v>
      </c>
      <c r="H919" s="48">
        <f t="shared" si="97"/>
        <v>74295.83</v>
      </c>
      <c r="I919" s="48">
        <f t="shared" si="97"/>
        <v>74295.83</v>
      </c>
      <c r="J919" s="48">
        <f t="shared" si="97"/>
        <v>74295.83</v>
      </c>
      <c r="K919" s="48">
        <f t="shared" si="97"/>
        <v>74295.83</v>
      </c>
      <c r="L919" s="48">
        <f t="shared" si="97"/>
        <v>74295.83</v>
      </c>
      <c r="M919" s="48">
        <v>55022.92</v>
      </c>
      <c r="N919" s="48">
        <v>55022.92</v>
      </c>
      <c r="O919" s="50">
        <v>55022.92</v>
      </c>
      <c r="P919" s="21">
        <f>SUM(D919:O919)</f>
        <v>833731.2300000001</v>
      </c>
    </row>
    <row r="920" spans="3:16" ht="13.5" customHeight="1" thickBot="1">
      <c r="C920" s="6" t="s">
        <v>275</v>
      </c>
      <c r="D920" s="22">
        <f aca="true" t="shared" si="98" ref="D920:O920">SUM(D917:D919)</f>
        <v>74545.83</v>
      </c>
      <c r="E920" s="22">
        <f t="shared" si="98"/>
        <v>74295.83</v>
      </c>
      <c r="F920" s="22">
        <f t="shared" si="98"/>
        <v>74295.83</v>
      </c>
      <c r="G920" s="22">
        <f t="shared" si="98"/>
        <v>74295.83</v>
      </c>
      <c r="H920" s="22">
        <f t="shared" si="98"/>
        <v>74295.83</v>
      </c>
      <c r="I920" s="22">
        <f t="shared" si="98"/>
        <v>74295.83</v>
      </c>
      <c r="J920" s="22">
        <f t="shared" si="98"/>
        <v>74295.83</v>
      </c>
      <c r="K920" s="22">
        <f t="shared" si="98"/>
        <v>74295.83</v>
      </c>
      <c r="L920" s="22">
        <f t="shared" si="98"/>
        <v>74295.83</v>
      </c>
      <c r="M920" s="22">
        <f t="shared" si="98"/>
        <v>55022.92</v>
      </c>
      <c r="N920" s="22">
        <f t="shared" si="98"/>
        <v>55022.92</v>
      </c>
      <c r="O920" s="30">
        <f t="shared" si="98"/>
        <v>55022.92</v>
      </c>
      <c r="P920" s="22">
        <f>SUM(P917:P919)</f>
        <v>833981.2300000001</v>
      </c>
    </row>
    <row r="921" ht="13.5" customHeight="1">
      <c r="C921" s="10"/>
    </row>
    <row r="922" spans="2:3" ht="13.5" customHeight="1">
      <c r="B922" s="37" t="s">
        <v>104</v>
      </c>
      <c r="C922" s="25" t="s">
        <v>276</v>
      </c>
    </row>
    <row r="923" spans="3:16" ht="13.5" customHeight="1">
      <c r="C923" s="4" t="s">
        <v>3</v>
      </c>
      <c r="D923" s="21">
        <v>0</v>
      </c>
      <c r="E923" s="21">
        <v>0</v>
      </c>
      <c r="F923" s="21"/>
      <c r="G923" s="21"/>
      <c r="H923" s="21"/>
      <c r="I923" s="21"/>
      <c r="J923" s="21"/>
      <c r="K923" s="21"/>
      <c r="L923" s="21"/>
      <c r="M923" s="21"/>
      <c r="N923" s="21"/>
      <c r="O923" s="29"/>
      <c r="P923" s="21">
        <f>SUM(D923:O923)</f>
        <v>0</v>
      </c>
    </row>
    <row r="924" spans="3:16" ht="13.5" customHeight="1">
      <c r="C924" s="4" t="s">
        <v>4</v>
      </c>
      <c r="D924" s="48">
        <v>250</v>
      </c>
      <c r="P924" s="21">
        <f>SUM(D924:O924)</f>
        <v>250</v>
      </c>
    </row>
    <row r="925" spans="3:16" ht="13.5" customHeight="1" thickBot="1">
      <c r="C925" s="4" t="s">
        <v>5</v>
      </c>
      <c r="D925" s="48">
        <f>25270+27037.33</f>
        <v>52307.33</v>
      </c>
      <c r="E925" s="48">
        <f>25270+26966.58</f>
        <v>52236.58</v>
      </c>
      <c r="F925" s="48"/>
      <c r="G925" s="48"/>
      <c r="H925" s="48"/>
      <c r="I925" s="48"/>
      <c r="J925" s="48"/>
      <c r="K925" s="48"/>
      <c r="L925" s="48"/>
      <c r="M925" s="48"/>
      <c r="N925" s="48"/>
      <c r="O925" s="50"/>
      <c r="P925" s="21">
        <f>SUM(D925:O925)</f>
        <v>104543.91</v>
      </c>
    </row>
    <row r="926" spans="3:16" ht="13.5" customHeight="1" thickBot="1">
      <c r="C926" s="6" t="s">
        <v>88</v>
      </c>
      <c r="D926" s="22">
        <f aca="true" t="shared" si="99" ref="D926:O926">SUM(D923:D925)</f>
        <v>52557.33</v>
      </c>
      <c r="E926" s="22">
        <f t="shared" si="99"/>
        <v>52236.58</v>
      </c>
      <c r="F926" s="22">
        <f t="shared" si="99"/>
        <v>0</v>
      </c>
      <c r="G926" s="22">
        <f t="shared" si="99"/>
        <v>0</v>
      </c>
      <c r="H926" s="22">
        <f t="shared" si="99"/>
        <v>0</v>
      </c>
      <c r="I926" s="22">
        <f t="shared" si="99"/>
        <v>0</v>
      </c>
      <c r="J926" s="22">
        <f t="shared" si="99"/>
        <v>0</v>
      </c>
      <c r="K926" s="22">
        <f t="shared" si="99"/>
        <v>0</v>
      </c>
      <c r="L926" s="22">
        <f t="shared" si="99"/>
        <v>0</v>
      </c>
      <c r="M926" s="22">
        <f t="shared" si="99"/>
        <v>0</v>
      </c>
      <c r="N926" s="22">
        <f t="shared" si="99"/>
        <v>0</v>
      </c>
      <c r="O926" s="30">
        <f t="shared" si="99"/>
        <v>0</v>
      </c>
      <c r="P926" s="22">
        <f>SUM(P923:P925)</f>
        <v>104793.91</v>
      </c>
    </row>
    <row r="927" ht="13.5" customHeight="1">
      <c r="C927" s="10"/>
    </row>
    <row r="928" spans="2:3" ht="13.5" customHeight="1">
      <c r="B928" s="37" t="s">
        <v>104</v>
      </c>
      <c r="C928" s="25" t="s">
        <v>277</v>
      </c>
    </row>
    <row r="929" ht="13.5" customHeight="1">
      <c r="C929" s="4" t="s">
        <v>3</v>
      </c>
    </row>
    <row r="930" ht="13.5" customHeight="1">
      <c r="C930" s="4" t="s">
        <v>4</v>
      </c>
    </row>
    <row r="931" ht="13.5" customHeight="1" thickBot="1">
      <c r="C931" s="4" t="s">
        <v>5</v>
      </c>
    </row>
    <row r="932" ht="13.5" customHeight="1" thickBot="1">
      <c r="C932" s="6" t="s">
        <v>278</v>
      </c>
    </row>
    <row r="933" ht="13.5" customHeight="1">
      <c r="C933" s="10"/>
    </row>
    <row r="934" spans="1:3" ht="13.5" customHeight="1">
      <c r="A934" s="1">
        <f>A916+1</f>
        <v>52</v>
      </c>
      <c r="B934" s="39"/>
      <c r="C934" s="5" t="s">
        <v>279</v>
      </c>
    </row>
    <row r="935" spans="3:16" ht="13.5" customHeight="1">
      <c r="C935" s="4" t="s">
        <v>3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9">
        <v>0</v>
      </c>
      <c r="P935" s="21">
        <f>SUM(D935:O935)</f>
        <v>0</v>
      </c>
    </row>
    <row r="936" spans="3:16" ht="13.5" customHeight="1">
      <c r="C936" s="4" t="s">
        <v>4</v>
      </c>
      <c r="D936" s="48">
        <v>250</v>
      </c>
      <c r="P936" s="21">
        <f>SUM(D936:O936)</f>
        <v>250</v>
      </c>
    </row>
    <row r="937" spans="3:16" ht="13.5" customHeight="1" thickBot="1">
      <c r="C937" s="4" t="s">
        <v>5</v>
      </c>
      <c r="D937" s="48">
        <f>13612.49+15935.09</f>
        <v>29547.58</v>
      </c>
      <c r="E937" s="48">
        <f>13612.49+15894.3</f>
        <v>29506.79</v>
      </c>
      <c r="F937" s="48">
        <f>13612.49+15342.1</f>
        <v>28954.59</v>
      </c>
      <c r="G937" s="48">
        <f>13612.49+15812.71</f>
        <v>29425.199999999997</v>
      </c>
      <c r="H937" s="48">
        <f>13612.49+15263.15</f>
        <v>28875.64</v>
      </c>
      <c r="I937" s="48">
        <f>13612.49+15731.13</f>
        <v>29343.62</v>
      </c>
      <c r="J937" s="48">
        <f>13612.49+15690.34</f>
        <v>29302.83</v>
      </c>
      <c r="K937" s="48">
        <f>13612.49+14135.07</f>
        <v>27747.559999999998</v>
      </c>
      <c r="L937" s="48">
        <f>13612.49+15608.75</f>
        <v>29221.239999999998</v>
      </c>
      <c r="M937" s="48">
        <f>13612.49+15065.77</f>
        <v>28678.260000000002</v>
      </c>
      <c r="N937" s="48">
        <f>13612.49+15527.17</f>
        <v>29139.66</v>
      </c>
      <c r="O937" s="50">
        <f>14100.66+14986.81</f>
        <v>29087.47</v>
      </c>
      <c r="P937" s="21">
        <f>SUM(D937:O937)</f>
        <v>348830.43999999994</v>
      </c>
    </row>
    <row r="938" spans="3:16" ht="13.5" customHeight="1" thickBot="1">
      <c r="C938" s="6" t="s">
        <v>18</v>
      </c>
      <c r="D938" s="22">
        <f aca="true" t="shared" si="100" ref="D938:O938">SUM(D935:D937)</f>
        <v>29797.58</v>
      </c>
      <c r="E938" s="22">
        <f t="shared" si="100"/>
        <v>29506.79</v>
      </c>
      <c r="F938" s="22">
        <f t="shared" si="100"/>
        <v>28954.59</v>
      </c>
      <c r="G938" s="22">
        <f t="shared" si="100"/>
        <v>29425.199999999997</v>
      </c>
      <c r="H938" s="22">
        <f t="shared" si="100"/>
        <v>28875.64</v>
      </c>
      <c r="I938" s="22">
        <f t="shared" si="100"/>
        <v>29343.62</v>
      </c>
      <c r="J938" s="22">
        <f t="shared" si="100"/>
        <v>29302.83</v>
      </c>
      <c r="K938" s="22">
        <f t="shared" si="100"/>
        <v>27747.559999999998</v>
      </c>
      <c r="L938" s="22">
        <f t="shared" si="100"/>
        <v>29221.239999999998</v>
      </c>
      <c r="M938" s="22">
        <f t="shared" si="100"/>
        <v>28678.260000000002</v>
      </c>
      <c r="N938" s="22">
        <f t="shared" si="100"/>
        <v>29139.66</v>
      </c>
      <c r="O938" s="30">
        <f t="shared" si="100"/>
        <v>29087.47</v>
      </c>
      <c r="P938" s="22">
        <f>SUM(P935:P937)</f>
        <v>349080.43999999994</v>
      </c>
    </row>
    <row r="939" ht="13.5" customHeight="1">
      <c r="C939" s="10"/>
    </row>
    <row r="940" spans="1:3" ht="13.5" customHeight="1">
      <c r="A940" s="1">
        <f>A934+1</f>
        <v>53</v>
      </c>
      <c r="B940" s="39"/>
      <c r="C940" s="5" t="s">
        <v>280</v>
      </c>
    </row>
    <row r="941" spans="3:16" ht="13.5" customHeight="1">
      <c r="C941" s="4" t="s">
        <v>3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9">
        <v>0</v>
      </c>
      <c r="P941" s="21">
        <f>SUM(D941:O941)</f>
        <v>0</v>
      </c>
    </row>
    <row r="942" spans="3:16" ht="13.5" customHeight="1">
      <c r="C942" s="4" t="s">
        <v>4</v>
      </c>
      <c r="D942" s="48">
        <v>250</v>
      </c>
      <c r="P942" s="21">
        <f>SUM(D942:O942)</f>
        <v>250</v>
      </c>
    </row>
    <row r="943" spans="3:16" ht="13.5" customHeight="1" thickBot="1">
      <c r="C943" s="4" t="s">
        <v>5</v>
      </c>
      <c r="D943" s="48">
        <v>42638.53</v>
      </c>
      <c r="E943" s="48">
        <v>42638.53</v>
      </c>
      <c r="F943" s="48">
        <v>42638.53</v>
      </c>
      <c r="G943" s="48">
        <v>42638.53</v>
      </c>
      <c r="H943" s="48">
        <v>42638.53</v>
      </c>
      <c r="I943" s="48">
        <v>42638.58</v>
      </c>
      <c r="J943" s="48">
        <v>42638.53</v>
      </c>
      <c r="K943" s="48">
        <v>42638.53</v>
      </c>
      <c r="L943" s="48">
        <v>42638.53</v>
      </c>
      <c r="M943" s="48">
        <v>42638.53</v>
      </c>
      <c r="N943" s="48">
        <v>42638.53</v>
      </c>
      <c r="O943" s="50">
        <v>42638.62</v>
      </c>
      <c r="P943" s="21">
        <f>SUM(D943:O943)</f>
        <v>511662.5000000001</v>
      </c>
    </row>
    <row r="944" spans="3:16" ht="13.5" customHeight="1" thickBot="1">
      <c r="C944" s="6" t="s">
        <v>281</v>
      </c>
      <c r="D944" s="22">
        <f aca="true" t="shared" si="101" ref="D944:O944">SUM(D941:D943)</f>
        <v>42888.53</v>
      </c>
      <c r="E944" s="22">
        <f t="shared" si="101"/>
        <v>42638.53</v>
      </c>
      <c r="F944" s="22">
        <f t="shared" si="101"/>
        <v>42638.53</v>
      </c>
      <c r="G944" s="22">
        <f t="shared" si="101"/>
        <v>42638.53</v>
      </c>
      <c r="H944" s="22">
        <f t="shared" si="101"/>
        <v>42638.53</v>
      </c>
      <c r="I944" s="22">
        <f t="shared" si="101"/>
        <v>42638.58</v>
      </c>
      <c r="J944" s="22">
        <f t="shared" si="101"/>
        <v>42638.53</v>
      </c>
      <c r="K944" s="22">
        <f t="shared" si="101"/>
        <v>42638.53</v>
      </c>
      <c r="L944" s="22">
        <f t="shared" si="101"/>
        <v>42638.53</v>
      </c>
      <c r="M944" s="22">
        <f t="shared" si="101"/>
        <v>42638.53</v>
      </c>
      <c r="N944" s="22">
        <f t="shared" si="101"/>
        <v>42638.53</v>
      </c>
      <c r="O944" s="30">
        <f t="shared" si="101"/>
        <v>42638.62</v>
      </c>
      <c r="P944" s="22">
        <f>SUM(P941:P943)</f>
        <v>511912.5000000001</v>
      </c>
    </row>
    <row r="945" ht="13.5" customHeight="1">
      <c r="C945" s="10"/>
    </row>
    <row r="946" spans="1:3" ht="13.5" customHeight="1">
      <c r="A946" s="1">
        <f>A940+1</f>
        <v>54</v>
      </c>
      <c r="B946" s="39"/>
      <c r="C946" s="5" t="s">
        <v>282</v>
      </c>
    </row>
    <row r="947" spans="3:16" ht="13.5" customHeight="1">
      <c r="C947" s="4" t="s">
        <v>3</v>
      </c>
      <c r="D947" s="21">
        <v>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9">
        <v>0</v>
      </c>
      <c r="P947" s="21">
        <f>SUM(D947:O947)</f>
        <v>0</v>
      </c>
    </row>
    <row r="948" spans="3:16" ht="13.5" customHeight="1">
      <c r="C948" s="4" t="s">
        <v>4</v>
      </c>
      <c r="D948" s="48">
        <v>250</v>
      </c>
      <c r="P948" s="21">
        <f>SUM(D948:O948)</f>
        <v>250</v>
      </c>
    </row>
    <row r="949" spans="3:16" ht="13.5" customHeight="1" thickBot="1">
      <c r="C949" s="4" t="s">
        <v>5</v>
      </c>
      <c r="D949" s="21">
        <v>104765.11</v>
      </c>
      <c r="E949" s="21">
        <v>104765.11</v>
      </c>
      <c r="F949" s="21">
        <v>104765.11</v>
      </c>
      <c r="G949" s="21">
        <f>25000+104765.11</f>
        <v>129765.11</v>
      </c>
      <c r="H949" s="21">
        <f aca="true" t="shared" si="102" ref="H949:O949">25000+104765.11</f>
        <v>129765.11</v>
      </c>
      <c r="I949" s="21">
        <f t="shared" si="102"/>
        <v>129765.11</v>
      </c>
      <c r="J949" s="21">
        <f t="shared" si="102"/>
        <v>129765.11</v>
      </c>
      <c r="K949" s="21">
        <f t="shared" si="102"/>
        <v>129765.11</v>
      </c>
      <c r="L949" s="21">
        <f t="shared" si="102"/>
        <v>129765.11</v>
      </c>
      <c r="M949" s="21">
        <f t="shared" si="102"/>
        <v>129765.11</v>
      </c>
      <c r="N949" s="21">
        <f t="shared" si="102"/>
        <v>129765.11</v>
      </c>
      <c r="O949" s="29">
        <f t="shared" si="102"/>
        <v>129765.11</v>
      </c>
      <c r="P949" s="21">
        <f>SUM(D949:O949)</f>
        <v>1482181.3200000003</v>
      </c>
    </row>
    <row r="950" spans="3:16" ht="13.5" customHeight="1" thickBot="1">
      <c r="C950" s="6" t="s">
        <v>270</v>
      </c>
      <c r="D950" s="22">
        <f aca="true" t="shared" si="103" ref="D950:O950">SUM(D947:D949)</f>
        <v>105015.11</v>
      </c>
      <c r="E950" s="22">
        <f t="shared" si="103"/>
        <v>104765.11</v>
      </c>
      <c r="F950" s="22">
        <f t="shared" si="103"/>
        <v>104765.11</v>
      </c>
      <c r="G950" s="22">
        <f t="shared" si="103"/>
        <v>129765.11</v>
      </c>
      <c r="H950" s="22">
        <f t="shared" si="103"/>
        <v>129765.11</v>
      </c>
      <c r="I950" s="22">
        <f t="shared" si="103"/>
        <v>129765.11</v>
      </c>
      <c r="J950" s="22">
        <f t="shared" si="103"/>
        <v>129765.11</v>
      </c>
      <c r="K950" s="22">
        <f t="shared" si="103"/>
        <v>129765.11</v>
      </c>
      <c r="L950" s="22">
        <f t="shared" si="103"/>
        <v>129765.11</v>
      </c>
      <c r="M950" s="22">
        <f t="shared" si="103"/>
        <v>129765.11</v>
      </c>
      <c r="N950" s="22">
        <f t="shared" si="103"/>
        <v>129765.11</v>
      </c>
      <c r="O950" s="30">
        <f t="shared" si="103"/>
        <v>129765.11</v>
      </c>
      <c r="P950" s="22">
        <f>SUM(P947:P949)</f>
        <v>1482431.3200000003</v>
      </c>
    </row>
    <row r="951" ht="13.5" customHeight="1">
      <c r="C951" s="10"/>
    </row>
    <row r="952" spans="1:3" ht="13.5" customHeight="1">
      <c r="A952" s="1">
        <f>A946+1</f>
        <v>55</v>
      </c>
      <c r="B952" s="39"/>
      <c r="C952" s="5" t="s">
        <v>283</v>
      </c>
    </row>
    <row r="953" spans="3:16" ht="13.5" customHeight="1">
      <c r="C953" s="4" t="s">
        <v>3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9">
        <v>0</v>
      </c>
      <c r="P953" s="21">
        <f>SUM(D953:O953)</f>
        <v>0</v>
      </c>
    </row>
    <row r="954" spans="3:16" ht="13.5" customHeight="1">
      <c r="C954" s="4" t="s">
        <v>4</v>
      </c>
      <c r="D954" s="48">
        <v>250</v>
      </c>
      <c r="P954" s="21">
        <f>SUM(D954:O954)</f>
        <v>250</v>
      </c>
    </row>
    <row r="955" spans="3:16" ht="13.5" customHeight="1" thickBot="1">
      <c r="C955" s="4" t="s">
        <v>5</v>
      </c>
      <c r="D955" s="48">
        <v>19770.04</v>
      </c>
      <c r="E955" s="48">
        <v>19770.04</v>
      </c>
      <c r="F955" s="48">
        <v>19770.04</v>
      </c>
      <c r="G955" s="48">
        <v>19770.04</v>
      </c>
      <c r="H955" s="48">
        <v>19770.04</v>
      </c>
      <c r="I955" s="48">
        <v>19770.04</v>
      </c>
      <c r="J955" s="48">
        <v>19770.04</v>
      </c>
      <c r="K955" s="48">
        <v>19770.04</v>
      </c>
      <c r="L955" s="48">
        <v>19770.04</v>
      </c>
      <c r="M955" s="48">
        <v>19770.04</v>
      </c>
      <c r="N955" s="48">
        <v>19770.04</v>
      </c>
      <c r="O955" s="50">
        <v>19770.04</v>
      </c>
      <c r="P955" s="21">
        <f>SUM(D955:O955)</f>
        <v>237240.48000000007</v>
      </c>
    </row>
    <row r="956" spans="3:16" ht="13.5" customHeight="1" thickBot="1">
      <c r="C956" s="6" t="s">
        <v>70</v>
      </c>
      <c r="D956" s="22">
        <f aca="true" t="shared" si="104" ref="D956:O956">SUM(D953:D955)</f>
        <v>20020.04</v>
      </c>
      <c r="E956" s="22">
        <f t="shared" si="104"/>
        <v>19770.04</v>
      </c>
      <c r="F956" s="22">
        <f t="shared" si="104"/>
        <v>19770.04</v>
      </c>
      <c r="G956" s="22">
        <f t="shared" si="104"/>
        <v>19770.04</v>
      </c>
      <c r="H956" s="22">
        <f t="shared" si="104"/>
        <v>19770.04</v>
      </c>
      <c r="I956" s="22">
        <f t="shared" si="104"/>
        <v>19770.04</v>
      </c>
      <c r="J956" s="22">
        <f t="shared" si="104"/>
        <v>19770.04</v>
      </c>
      <c r="K956" s="22">
        <f t="shared" si="104"/>
        <v>19770.04</v>
      </c>
      <c r="L956" s="22">
        <f t="shared" si="104"/>
        <v>19770.04</v>
      </c>
      <c r="M956" s="22">
        <f t="shared" si="104"/>
        <v>19770.04</v>
      </c>
      <c r="N956" s="22">
        <f t="shared" si="104"/>
        <v>19770.04</v>
      </c>
      <c r="O956" s="30">
        <f t="shared" si="104"/>
        <v>19770.04</v>
      </c>
      <c r="P956" s="22">
        <f>SUM(P953:P955)</f>
        <v>237490.48000000007</v>
      </c>
    </row>
    <row r="957" ht="13.5" customHeight="1">
      <c r="C957" s="10"/>
    </row>
    <row r="958" spans="1:3" ht="13.5" customHeight="1">
      <c r="A958" s="1">
        <f>A952+1</f>
        <v>56</v>
      </c>
      <c r="B958" s="39"/>
      <c r="C958" s="5" t="s">
        <v>284</v>
      </c>
    </row>
    <row r="959" spans="3:16" ht="13.5" customHeight="1">
      <c r="C959" s="4" t="s">
        <v>3</v>
      </c>
      <c r="D959" s="21">
        <v>1529.17</v>
      </c>
      <c r="E959" s="21">
        <v>1529.17</v>
      </c>
      <c r="F959" s="21">
        <v>1529.17</v>
      </c>
      <c r="G959" s="21">
        <v>1529.17</v>
      </c>
      <c r="H959" s="21">
        <v>1529.17</v>
      </c>
      <c r="I959" s="21">
        <v>1529.17</v>
      </c>
      <c r="J959" s="21">
        <v>1529.17</v>
      </c>
      <c r="K959" s="21">
        <v>1529.17</v>
      </c>
      <c r="L959" s="21">
        <v>1508.75</v>
      </c>
      <c r="M959" s="21">
        <v>1508.75</v>
      </c>
      <c r="N959" s="21">
        <v>1508.75</v>
      </c>
      <c r="O959" s="29">
        <v>1508.75</v>
      </c>
      <c r="P959" s="21">
        <f>SUM(D959:O959)</f>
        <v>18268.36</v>
      </c>
    </row>
    <row r="960" spans="3:16" ht="13.5" customHeight="1">
      <c r="C960" s="4" t="s">
        <v>4</v>
      </c>
      <c r="D960" s="48">
        <v>250</v>
      </c>
      <c r="P960" s="21">
        <f>SUM(D960:O960)</f>
        <v>250</v>
      </c>
    </row>
    <row r="961" spans="3:16" ht="13.5" customHeight="1" thickBot="1">
      <c r="C961" s="4" t="s">
        <v>5</v>
      </c>
      <c r="D961" s="48">
        <v>95004.17</v>
      </c>
      <c r="E961" s="48">
        <v>95004.17</v>
      </c>
      <c r="F961" s="48">
        <v>95004.17</v>
      </c>
      <c r="G961" s="48">
        <v>95004.17</v>
      </c>
      <c r="H961" s="48">
        <v>95004.17</v>
      </c>
      <c r="I961" s="48">
        <v>95004.17</v>
      </c>
      <c r="J961" s="48">
        <v>95004.17</v>
      </c>
      <c r="K961" s="48">
        <v>95004.17</v>
      </c>
      <c r="L961" s="48">
        <v>95004.17</v>
      </c>
      <c r="M961" s="48">
        <v>95020.83</v>
      </c>
      <c r="N961" s="48">
        <v>95020.83</v>
      </c>
      <c r="O961" s="50">
        <v>95020.83</v>
      </c>
      <c r="P961" s="21">
        <f>SUM(D961:O961)</f>
        <v>1140100.02</v>
      </c>
    </row>
    <row r="962" spans="3:16" ht="13.5" customHeight="1" thickBot="1">
      <c r="C962" s="6" t="s">
        <v>285</v>
      </c>
      <c r="D962" s="22">
        <f aca="true" t="shared" si="105" ref="D962:O962">SUM(D959:D961)</f>
        <v>96783.34</v>
      </c>
      <c r="E962" s="22">
        <f t="shared" si="105"/>
        <v>96533.34</v>
      </c>
      <c r="F962" s="22">
        <f t="shared" si="105"/>
        <v>96533.34</v>
      </c>
      <c r="G962" s="22">
        <f t="shared" si="105"/>
        <v>96533.34</v>
      </c>
      <c r="H962" s="22">
        <f t="shared" si="105"/>
        <v>96533.34</v>
      </c>
      <c r="I962" s="22">
        <f t="shared" si="105"/>
        <v>96533.34</v>
      </c>
      <c r="J962" s="22">
        <f t="shared" si="105"/>
        <v>96533.34</v>
      </c>
      <c r="K962" s="22">
        <f t="shared" si="105"/>
        <v>96533.34</v>
      </c>
      <c r="L962" s="22">
        <f t="shared" si="105"/>
        <v>96512.92</v>
      </c>
      <c r="M962" s="22">
        <f t="shared" si="105"/>
        <v>96529.58</v>
      </c>
      <c r="N962" s="22">
        <f t="shared" si="105"/>
        <v>96529.58</v>
      </c>
      <c r="O962" s="30">
        <f t="shared" si="105"/>
        <v>96529.58</v>
      </c>
      <c r="P962" s="22">
        <f>SUM(P959:P961)</f>
        <v>1158618.3800000001</v>
      </c>
    </row>
    <row r="963" ht="13.5" customHeight="1">
      <c r="C963" s="10"/>
    </row>
    <row r="964" spans="1:3" ht="13.5" customHeight="1">
      <c r="A964" s="1">
        <f>A958+1</f>
        <v>57</v>
      </c>
      <c r="B964" s="39"/>
      <c r="C964" s="5" t="s">
        <v>286</v>
      </c>
    </row>
    <row r="965" spans="3:16" ht="13.5" customHeight="1">
      <c r="C965" s="4" t="s">
        <v>3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9">
        <v>0</v>
      </c>
      <c r="P965" s="21">
        <f>SUM(D965:O965)</f>
        <v>0</v>
      </c>
    </row>
    <row r="966" spans="3:16" ht="13.5" customHeight="1">
      <c r="C966" s="4" t="s">
        <v>4</v>
      </c>
      <c r="D966" s="48">
        <v>250</v>
      </c>
      <c r="P966" s="21">
        <f>SUM(D966:O966)</f>
        <v>250</v>
      </c>
    </row>
    <row r="967" spans="3:16" ht="13.5" customHeight="1" thickBot="1">
      <c r="C967" s="4" t="s">
        <v>5</v>
      </c>
      <c r="D967" s="48">
        <v>54147.45</v>
      </c>
      <c r="E967" s="48">
        <v>54069.96</v>
      </c>
      <c r="F967" s="48">
        <v>53992.49</v>
      </c>
      <c r="G967" s="48">
        <v>53915</v>
      </c>
      <c r="H967" s="48">
        <v>51189.18</v>
      </c>
      <c r="I967" s="48">
        <v>51117.9</v>
      </c>
      <c r="J967" s="48">
        <v>51046.61</v>
      </c>
      <c r="K967" s="48">
        <v>50975.33</v>
      </c>
      <c r="L967" s="48">
        <v>50908.04</v>
      </c>
      <c r="M967" s="48">
        <v>51705.75</v>
      </c>
      <c r="N967" s="48">
        <v>51630.45</v>
      </c>
      <c r="O967" s="50">
        <v>51556.16</v>
      </c>
      <c r="P967" s="21">
        <f>SUM(D967:O967)</f>
        <v>626254.3200000001</v>
      </c>
    </row>
    <row r="968" spans="3:16" ht="13.5" customHeight="1" thickBot="1">
      <c r="C968" s="6" t="s">
        <v>287</v>
      </c>
      <c r="D968" s="22">
        <f aca="true" t="shared" si="106" ref="D968:O968">SUM(D965:D967)</f>
        <v>54397.45</v>
      </c>
      <c r="E968" s="22">
        <f t="shared" si="106"/>
        <v>54069.96</v>
      </c>
      <c r="F968" s="22">
        <f t="shared" si="106"/>
        <v>53992.49</v>
      </c>
      <c r="G968" s="22">
        <f t="shared" si="106"/>
        <v>53915</v>
      </c>
      <c r="H968" s="22">
        <f t="shared" si="106"/>
        <v>51189.18</v>
      </c>
      <c r="I968" s="22">
        <f t="shared" si="106"/>
        <v>51117.9</v>
      </c>
      <c r="J968" s="22">
        <f t="shared" si="106"/>
        <v>51046.61</v>
      </c>
      <c r="K968" s="22">
        <f t="shared" si="106"/>
        <v>50975.33</v>
      </c>
      <c r="L968" s="22">
        <f t="shared" si="106"/>
        <v>50908.04</v>
      </c>
      <c r="M968" s="22">
        <f t="shared" si="106"/>
        <v>51705.75</v>
      </c>
      <c r="N968" s="22">
        <f t="shared" si="106"/>
        <v>51630.45</v>
      </c>
      <c r="O968" s="30">
        <f t="shared" si="106"/>
        <v>51556.16</v>
      </c>
      <c r="P968" s="22">
        <f>SUM(P965:P967)</f>
        <v>626504.3200000001</v>
      </c>
    </row>
    <row r="969" ht="13.5" customHeight="1">
      <c r="C969" s="10"/>
    </row>
    <row r="970" spans="1:3" ht="13.5" customHeight="1">
      <c r="A970" s="1">
        <f>A964+1</f>
        <v>58</v>
      </c>
      <c r="B970" s="39"/>
      <c r="C970" s="5" t="s">
        <v>288</v>
      </c>
    </row>
    <row r="971" spans="3:16" ht="13.5" customHeight="1">
      <c r="C971" s="4" t="s">
        <v>3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9">
        <v>0</v>
      </c>
      <c r="P971" s="21">
        <f>SUM(D971:O971)</f>
        <v>0</v>
      </c>
    </row>
    <row r="972" spans="3:16" ht="13.5" customHeight="1">
      <c r="C972" s="4" t="s">
        <v>4</v>
      </c>
      <c r="D972" s="48">
        <v>250</v>
      </c>
      <c r="P972" s="21">
        <f>SUM(D972:O972)</f>
        <v>250</v>
      </c>
    </row>
    <row r="973" spans="3:16" ht="13.5" customHeight="1" thickBot="1">
      <c r="C973" s="4" t="s">
        <v>5</v>
      </c>
      <c r="D973" s="48">
        <v>94674.48</v>
      </c>
      <c r="E973" s="48">
        <v>94674.48</v>
      </c>
      <c r="F973" s="48">
        <v>94674.48</v>
      </c>
      <c r="G973" s="48">
        <v>94674.48</v>
      </c>
      <c r="H973" s="48">
        <v>94674.47</v>
      </c>
      <c r="I973" s="48">
        <v>106325.52</v>
      </c>
      <c r="J973" s="48">
        <v>106325.52</v>
      </c>
      <c r="K973" s="48">
        <v>106325.52</v>
      </c>
      <c r="L973" s="48">
        <v>106325.52</v>
      </c>
      <c r="M973" s="48">
        <v>106325.52</v>
      </c>
      <c r="N973" s="48">
        <v>106325.53</v>
      </c>
      <c r="O973" s="50">
        <f>7916.67+106325.52</f>
        <v>114242.19</v>
      </c>
      <c r="P973" s="21">
        <f>SUM(D973:O973)</f>
        <v>1225567.71</v>
      </c>
    </row>
    <row r="974" spans="3:16" ht="13.5" customHeight="1" thickBot="1">
      <c r="C974" s="6" t="s">
        <v>106</v>
      </c>
      <c r="D974" s="22">
        <f aca="true" t="shared" si="107" ref="D974:O974">SUM(D971:D973)</f>
        <v>94924.48</v>
      </c>
      <c r="E974" s="22">
        <f t="shared" si="107"/>
        <v>94674.48</v>
      </c>
      <c r="F974" s="22">
        <f t="shared" si="107"/>
        <v>94674.48</v>
      </c>
      <c r="G974" s="22">
        <f t="shared" si="107"/>
        <v>94674.48</v>
      </c>
      <c r="H974" s="22">
        <f t="shared" si="107"/>
        <v>94674.47</v>
      </c>
      <c r="I974" s="22">
        <f t="shared" si="107"/>
        <v>106325.52</v>
      </c>
      <c r="J974" s="22">
        <f t="shared" si="107"/>
        <v>106325.52</v>
      </c>
      <c r="K974" s="22">
        <f t="shared" si="107"/>
        <v>106325.52</v>
      </c>
      <c r="L974" s="22">
        <f t="shared" si="107"/>
        <v>106325.52</v>
      </c>
      <c r="M974" s="22">
        <f t="shared" si="107"/>
        <v>106325.52</v>
      </c>
      <c r="N974" s="22">
        <f t="shared" si="107"/>
        <v>106325.53</v>
      </c>
      <c r="O974" s="30">
        <f t="shared" si="107"/>
        <v>114242.19</v>
      </c>
      <c r="P974" s="22">
        <f>SUM(P971:P973)</f>
        <v>1225817.71</v>
      </c>
    </row>
    <row r="975" ht="13.5" customHeight="1">
      <c r="C975" s="10"/>
    </row>
    <row r="976" spans="1:3" ht="13.5" customHeight="1">
      <c r="A976" s="1">
        <f>A970+1</f>
        <v>59</v>
      </c>
      <c r="B976" s="39"/>
      <c r="C976" s="5" t="s">
        <v>289</v>
      </c>
    </row>
    <row r="977" spans="3:16" ht="13.5" customHeight="1">
      <c r="C977" s="4" t="s">
        <v>3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9">
        <v>0</v>
      </c>
      <c r="P977" s="21">
        <f>SUM(D977:O977)</f>
        <v>0</v>
      </c>
    </row>
    <row r="978" spans="3:16" ht="13.5" customHeight="1">
      <c r="C978" s="4" t="s">
        <v>4</v>
      </c>
      <c r="D978" s="48">
        <v>250</v>
      </c>
      <c r="P978" s="21">
        <f>SUM(D978:O978)</f>
        <v>250</v>
      </c>
    </row>
    <row r="979" spans="3:16" ht="13.5" customHeight="1" thickBot="1">
      <c r="C979" s="4" t="s">
        <v>5</v>
      </c>
      <c r="D979" s="48">
        <v>54516.67</v>
      </c>
      <c r="E979" s="48">
        <v>54516.67</v>
      </c>
      <c r="F979" s="48">
        <v>54516.67</v>
      </c>
      <c r="G979" s="48">
        <v>54516.67</v>
      </c>
      <c r="H979" s="48">
        <v>54516.65</v>
      </c>
      <c r="I979" s="48">
        <v>54825</v>
      </c>
      <c r="J979" s="48">
        <v>54825</v>
      </c>
      <c r="K979" s="48">
        <v>54825</v>
      </c>
      <c r="L979" s="48">
        <v>54825</v>
      </c>
      <c r="M979" s="48">
        <v>54825</v>
      </c>
      <c r="N979" s="48">
        <v>54824.98</v>
      </c>
      <c r="O979" s="50">
        <v>54825</v>
      </c>
      <c r="P979" s="21">
        <f>SUM(D979:O979)</f>
        <v>656358.31</v>
      </c>
    </row>
    <row r="980" spans="3:16" ht="13.5" customHeight="1" thickBot="1">
      <c r="C980" s="6" t="s">
        <v>146</v>
      </c>
      <c r="D980" s="22">
        <f aca="true" t="shared" si="108" ref="D980:O980">SUM(D977:D979)</f>
        <v>54766.67</v>
      </c>
      <c r="E980" s="22">
        <f t="shared" si="108"/>
        <v>54516.67</v>
      </c>
      <c r="F980" s="22">
        <f t="shared" si="108"/>
        <v>54516.67</v>
      </c>
      <c r="G980" s="22">
        <f t="shared" si="108"/>
        <v>54516.67</v>
      </c>
      <c r="H980" s="22">
        <f t="shared" si="108"/>
        <v>54516.65</v>
      </c>
      <c r="I980" s="22">
        <f t="shared" si="108"/>
        <v>54825</v>
      </c>
      <c r="J980" s="22">
        <f t="shared" si="108"/>
        <v>54825</v>
      </c>
      <c r="K980" s="22">
        <f t="shared" si="108"/>
        <v>54825</v>
      </c>
      <c r="L980" s="22">
        <f t="shared" si="108"/>
        <v>54825</v>
      </c>
      <c r="M980" s="22">
        <f t="shared" si="108"/>
        <v>54825</v>
      </c>
      <c r="N980" s="22">
        <f t="shared" si="108"/>
        <v>54824.98</v>
      </c>
      <c r="O980" s="30">
        <f t="shared" si="108"/>
        <v>54825</v>
      </c>
      <c r="P980" s="22">
        <f>SUM(P977:P979)</f>
        <v>656608.31</v>
      </c>
    </row>
    <row r="981" ht="13.5" customHeight="1">
      <c r="C981" s="10"/>
    </row>
    <row r="982" spans="1:3" ht="13.5" customHeight="1">
      <c r="A982" s="1">
        <f>A976+1</f>
        <v>60</v>
      </c>
      <c r="B982" s="39"/>
      <c r="C982" s="5" t="s">
        <v>362</v>
      </c>
    </row>
    <row r="983" spans="3:16" ht="13.5" customHeight="1">
      <c r="C983" s="4" t="s">
        <v>3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9">
        <v>0</v>
      </c>
      <c r="P983" s="21">
        <f>SUM(D983:O983)</f>
        <v>0</v>
      </c>
    </row>
    <row r="984" spans="3:16" ht="13.5" customHeight="1">
      <c r="C984" s="4" t="s">
        <v>4</v>
      </c>
      <c r="D984" s="48">
        <v>250</v>
      </c>
      <c r="P984" s="21">
        <f>SUM(D984:O984)</f>
        <v>250</v>
      </c>
    </row>
    <row r="985" spans="3:16" ht="13.5" customHeight="1" thickBot="1">
      <c r="C985" s="4" t="s">
        <v>5</v>
      </c>
      <c r="D985" s="21">
        <f>19583.33+98742.71</f>
        <v>118326.04000000001</v>
      </c>
      <c r="E985" s="21">
        <f aca="true" t="shared" si="109" ref="E985:N985">19583.33+98742.71</f>
        <v>118326.04000000001</v>
      </c>
      <c r="F985" s="21">
        <f t="shared" si="109"/>
        <v>118326.04000000001</v>
      </c>
      <c r="G985" s="21">
        <f t="shared" si="109"/>
        <v>118326.04000000001</v>
      </c>
      <c r="H985" s="21">
        <f t="shared" si="109"/>
        <v>118326.04000000001</v>
      </c>
      <c r="I985" s="21">
        <f>19583.33+98742.7</f>
        <v>118326.03</v>
      </c>
      <c r="J985" s="21">
        <f t="shared" si="109"/>
        <v>118326.04000000001</v>
      </c>
      <c r="K985" s="21">
        <f t="shared" si="109"/>
        <v>118326.04000000001</v>
      </c>
      <c r="L985" s="21">
        <f t="shared" si="109"/>
        <v>118326.04000000001</v>
      </c>
      <c r="M985" s="21">
        <f t="shared" si="109"/>
        <v>118326.04000000001</v>
      </c>
      <c r="N985" s="21">
        <f t="shared" si="109"/>
        <v>118326.04000000001</v>
      </c>
      <c r="O985" s="29">
        <f>19583.37+98742.7</f>
        <v>118326.06999999999</v>
      </c>
      <c r="P985" s="21">
        <f>SUM(D985:O985)</f>
        <v>1419912.5000000002</v>
      </c>
    </row>
    <row r="986" spans="3:16" ht="13.5" customHeight="1" thickBot="1">
      <c r="C986" s="6" t="s">
        <v>363</v>
      </c>
      <c r="D986" s="22">
        <f aca="true" t="shared" si="110" ref="D986:O986">SUM(D983:D985)</f>
        <v>118576.04000000001</v>
      </c>
      <c r="E986" s="22">
        <f t="shared" si="110"/>
        <v>118326.04000000001</v>
      </c>
      <c r="F986" s="22">
        <f t="shared" si="110"/>
        <v>118326.04000000001</v>
      </c>
      <c r="G986" s="22">
        <f t="shared" si="110"/>
        <v>118326.04000000001</v>
      </c>
      <c r="H986" s="22">
        <f t="shared" si="110"/>
        <v>118326.04000000001</v>
      </c>
      <c r="I986" s="22">
        <f t="shared" si="110"/>
        <v>118326.03</v>
      </c>
      <c r="J986" s="22">
        <f t="shared" si="110"/>
        <v>118326.04000000001</v>
      </c>
      <c r="K986" s="22">
        <f t="shared" si="110"/>
        <v>118326.04000000001</v>
      </c>
      <c r="L986" s="22">
        <f t="shared" si="110"/>
        <v>118326.04000000001</v>
      </c>
      <c r="M986" s="22">
        <f t="shared" si="110"/>
        <v>118326.04000000001</v>
      </c>
      <c r="N986" s="22">
        <f t="shared" si="110"/>
        <v>118326.04000000001</v>
      </c>
      <c r="O986" s="30">
        <f t="shared" si="110"/>
        <v>118326.06999999999</v>
      </c>
      <c r="P986" s="22">
        <f>SUM(P983:P985)</f>
        <v>1420162.5000000002</v>
      </c>
    </row>
    <row r="987" ht="13.5" customHeight="1">
      <c r="C987" s="10"/>
    </row>
    <row r="988" spans="1:3" ht="13.5" customHeight="1">
      <c r="A988" s="1">
        <f>A982+1</f>
        <v>61</v>
      </c>
      <c r="B988" s="39"/>
      <c r="C988" s="5" t="s">
        <v>290</v>
      </c>
    </row>
    <row r="989" spans="3:16" ht="13.5" customHeight="1">
      <c r="C989" s="4" t="s">
        <v>3</v>
      </c>
      <c r="D989" s="21">
        <v>3350.42</v>
      </c>
      <c r="E989" s="21">
        <v>3350.42</v>
      </c>
      <c r="F989" s="21">
        <v>3350.42</v>
      </c>
      <c r="G989" s="21">
        <v>3350.42</v>
      </c>
      <c r="H989" s="21">
        <v>3350.42</v>
      </c>
      <c r="I989" s="21">
        <v>3350.42</v>
      </c>
      <c r="J989" s="21">
        <v>3350.42</v>
      </c>
      <c r="K989" s="21">
        <v>3350.42</v>
      </c>
      <c r="L989" s="21">
        <v>3350.42</v>
      </c>
      <c r="M989" s="21">
        <v>3350.42</v>
      </c>
      <c r="N989" s="21">
        <v>3350.42</v>
      </c>
      <c r="O989" s="29">
        <v>3350.42</v>
      </c>
      <c r="P989" s="21">
        <f>SUM(D989:O989)</f>
        <v>40205.039999999986</v>
      </c>
    </row>
    <row r="990" spans="3:16" ht="13.5" customHeight="1">
      <c r="C990" s="4" t="s">
        <v>4</v>
      </c>
      <c r="D990" s="48">
        <v>250</v>
      </c>
      <c r="P990" s="21">
        <f>SUM(D990:O990)</f>
        <v>250</v>
      </c>
    </row>
    <row r="991" spans="3:16" ht="13.5" customHeight="1" thickBot="1">
      <c r="C991" s="4" t="s">
        <v>5</v>
      </c>
      <c r="D991" s="21">
        <f>54166.67+150741.67</f>
        <v>204908.34000000003</v>
      </c>
      <c r="E991" s="21">
        <f>54166.67+150741.67</f>
        <v>204908.34000000003</v>
      </c>
      <c r="F991" s="21">
        <f>54166.67+150741.67</f>
        <v>204908.34000000003</v>
      </c>
      <c r="G991" s="21">
        <f>54166.67+150741.67</f>
        <v>204908.34000000003</v>
      </c>
      <c r="H991" s="21">
        <f>54166.67+150741.67</f>
        <v>204908.34000000003</v>
      </c>
      <c r="I991" s="21">
        <f>56666.67+148033.33</f>
        <v>204700</v>
      </c>
      <c r="J991" s="21">
        <f aca="true" t="shared" si="111" ref="J991:O991">56666.67+148033.33</f>
        <v>204700</v>
      </c>
      <c r="K991" s="21">
        <f t="shared" si="111"/>
        <v>204700</v>
      </c>
      <c r="L991" s="21">
        <f t="shared" si="111"/>
        <v>204700</v>
      </c>
      <c r="M991" s="21">
        <f t="shared" si="111"/>
        <v>204700</v>
      </c>
      <c r="N991" s="21">
        <f t="shared" si="111"/>
        <v>204700</v>
      </c>
      <c r="O991" s="29">
        <f t="shared" si="111"/>
        <v>204700</v>
      </c>
      <c r="P991" s="21">
        <f>SUM(D991:O991)</f>
        <v>2457441.7</v>
      </c>
    </row>
    <row r="992" spans="3:16" ht="13.5" customHeight="1" thickBot="1">
      <c r="C992" s="6" t="s">
        <v>52</v>
      </c>
      <c r="D992" s="22">
        <f aca="true" t="shared" si="112" ref="D992:O992">SUM(D989:D991)</f>
        <v>208508.76000000004</v>
      </c>
      <c r="E992" s="22">
        <f t="shared" si="112"/>
        <v>208258.76000000004</v>
      </c>
      <c r="F992" s="22">
        <f t="shared" si="112"/>
        <v>208258.76000000004</v>
      </c>
      <c r="G992" s="22">
        <f t="shared" si="112"/>
        <v>208258.76000000004</v>
      </c>
      <c r="H992" s="22">
        <f t="shared" si="112"/>
        <v>208258.76000000004</v>
      </c>
      <c r="I992" s="22">
        <f t="shared" si="112"/>
        <v>208050.42</v>
      </c>
      <c r="J992" s="22">
        <f t="shared" si="112"/>
        <v>208050.42</v>
      </c>
      <c r="K992" s="22">
        <f t="shared" si="112"/>
        <v>208050.42</v>
      </c>
      <c r="L992" s="22">
        <f t="shared" si="112"/>
        <v>208050.42</v>
      </c>
      <c r="M992" s="22">
        <f t="shared" si="112"/>
        <v>208050.42</v>
      </c>
      <c r="N992" s="22">
        <f t="shared" si="112"/>
        <v>208050.42</v>
      </c>
      <c r="O992" s="30">
        <f t="shared" si="112"/>
        <v>208050.42</v>
      </c>
      <c r="P992" s="22">
        <f>SUM(P989:P991)</f>
        <v>2497896.74</v>
      </c>
    </row>
    <row r="993" ht="13.5" customHeight="1">
      <c r="C993" s="10"/>
    </row>
    <row r="994" spans="2:3" ht="13.5" customHeight="1">
      <c r="B994" s="37" t="s">
        <v>104</v>
      </c>
      <c r="C994" s="25" t="s">
        <v>291</v>
      </c>
    </row>
    <row r="995" spans="3:16" ht="13.5" customHeight="1">
      <c r="C995" s="4" t="s">
        <v>3</v>
      </c>
      <c r="D995" s="21">
        <v>0</v>
      </c>
      <c r="E995" s="21">
        <v>0</v>
      </c>
      <c r="F995" s="21">
        <v>0</v>
      </c>
      <c r="G995" s="21"/>
      <c r="H995" s="21"/>
      <c r="I995" s="21"/>
      <c r="J995" s="21"/>
      <c r="K995" s="21"/>
      <c r="L995" s="21"/>
      <c r="M995" s="21"/>
      <c r="N995" s="21"/>
      <c r="O995" s="29"/>
      <c r="P995" s="21">
        <f>SUM(D995:O995)</f>
        <v>0</v>
      </c>
    </row>
    <row r="996" spans="3:16" ht="13.5" customHeight="1">
      <c r="C996" s="4" t="s">
        <v>4</v>
      </c>
      <c r="D996" s="48">
        <v>250</v>
      </c>
      <c r="P996" s="21">
        <f>SUM(D996:O996)</f>
        <v>250</v>
      </c>
    </row>
    <row r="997" spans="3:16" ht="13.5" customHeight="1" thickBot="1">
      <c r="C997" s="4" t="s">
        <v>5</v>
      </c>
      <c r="D997" s="21">
        <v>71744.79</v>
      </c>
      <c r="E997" s="21">
        <v>71744.79</v>
      </c>
      <c r="F997" s="21">
        <v>71744.79</v>
      </c>
      <c r="G997" s="21"/>
      <c r="H997" s="21"/>
      <c r="I997" s="21"/>
      <c r="J997" s="21"/>
      <c r="K997" s="21"/>
      <c r="L997" s="21"/>
      <c r="M997" s="21"/>
      <c r="N997" s="21"/>
      <c r="O997" s="29"/>
      <c r="P997" s="21">
        <f>SUM(D997:O997)</f>
        <v>215234.37</v>
      </c>
    </row>
    <row r="998" spans="3:16" ht="13.5" customHeight="1" thickBot="1">
      <c r="C998" s="6" t="s">
        <v>292</v>
      </c>
      <c r="D998" s="22">
        <f aca="true" t="shared" si="113" ref="D998:O998">SUM(D995:D997)</f>
        <v>71994.79</v>
      </c>
      <c r="E998" s="22">
        <f t="shared" si="113"/>
        <v>71744.79</v>
      </c>
      <c r="F998" s="22">
        <f t="shared" si="113"/>
        <v>71744.79</v>
      </c>
      <c r="G998" s="22">
        <f t="shared" si="113"/>
        <v>0</v>
      </c>
      <c r="H998" s="22">
        <f t="shared" si="113"/>
        <v>0</v>
      </c>
      <c r="I998" s="22">
        <f t="shared" si="113"/>
        <v>0</v>
      </c>
      <c r="J998" s="22">
        <f t="shared" si="113"/>
        <v>0</v>
      </c>
      <c r="K998" s="22">
        <f t="shared" si="113"/>
        <v>0</v>
      </c>
      <c r="L998" s="22">
        <f t="shared" si="113"/>
        <v>0</v>
      </c>
      <c r="M998" s="22">
        <f t="shared" si="113"/>
        <v>0</v>
      </c>
      <c r="N998" s="22">
        <f t="shared" si="113"/>
        <v>0</v>
      </c>
      <c r="O998" s="30">
        <f t="shared" si="113"/>
        <v>0</v>
      </c>
      <c r="P998" s="22">
        <f>SUM(P995:P997)</f>
        <v>215484.37</v>
      </c>
    </row>
    <row r="999" ht="13.5" customHeight="1">
      <c r="C999" s="10"/>
    </row>
    <row r="1000" spans="1:3" ht="13.5" customHeight="1">
      <c r="A1000" s="1">
        <f>A988+1</f>
        <v>62</v>
      </c>
      <c r="B1000" s="39"/>
      <c r="C1000" s="5" t="s">
        <v>293</v>
      </c>
    </row>
    <row r="1001" spans="3:16" ht="13.5" customHeight="1">
      <c r="C1001" s="4" t="s">
        <v>3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9">
        <v>0</v>
      </c>
      <c r="P1001" s="21">
        <f>SUM(D1001:O1001)</f>
        <v>0</v>
      </c>
    </row>
    <row r="1002" spans="3:16" ht="13.5" customHeight="1">
      <c r="C1002" s="4" t="s">
        <v>4</v>
      </c>
      <c r="D1002" s="48">
        <v>250</v>
      </c>
      <c r="P1002" s="21">
        <f>SUM(D1002:O1002)</f>
        <v>250</v>
      </c>
    </row>
    <row r="1003" spans="3:16" ht="13.5" customHeight="1" thickBot="1">
      <c r="C1003" s="4" t="s">
        <v>5</v>
      </c>
      <c r="D1003" s="48">
        <f>10581+32995.9</f>
        <v>43576.9</v>
      </c>
      <c r="E1003" s="48">
        <f>10581+32951.63</f>
        <v>43532.63</v>
      </c>
      <c r="F1003" s="48">
        <f>10909+32907.37</f>
        <v>43816.37</v>
      </c>
      <c r="G1003" s="48">
        <f>16800+32861.73</f>
        <v>49661.73</v>
      </c>
      <c r="H1003" s="48">
        <f>16395+32791.45</f>
        <v>49186.45</v>
      </c>
      <c r="I1003" s="48">
        <f>16395+29232.43</f>
        <v>45627.43</v>
      </c>
      <c r="J1003" s="48">
        <f>16395+26123.42</f>
        <v>42518.42</v>
      </c>
      <c r="K1003" s="48">
        <f>16395+26068.56</f>
        <v>42463.56</v>
      </c>
      <c r="L1003" s="48">
        <f>16395+26013.69</f>
        <v>42408.69</v>
      </c>
      <c r="M1003" s="48">
        <f>16395+25958.82</f>
        <v>42353.82</v>
      </c>
      <c r="N1003" s="48">
        <f>16395+25903.95</f>
        <v>42298.95</v>
      </c>
      <c r="O1003" s="50">
        <f>16395+25849.08</f>
        <v>42244.08</v>
      </c>
      <c r="P1003" s="21">
        <f>SUM(D1003:O1003)</f>
        <v>529689.03</v>
      </c>
    </row>
    <row r="1004" spans="3:16" ht="13.5" customHeight="1" thickBot="1">
      <c r="C1004" s="6" t="s">
        <v>144</v>
      </c>
      <c r="D1004" s="22">
        <f aca="true" t="shared" si="114" ref="D1004:O1004">SUM(D1001:D1003)</f>
        <v>43826.9</v>
      </c>
      <c r="E1004" s="22">
        <f t="shared" si="114"/>
        <v>43532.63</v>
      </c>
      <c r="F1004" s="22">
        <f t="shared" si="114"/>
        <v>43816.37</v>
      </c>
      <c r="G1004" s="22">
        <f t="shared" si="114"/>
        <v>49661.73</v>
      </c>
      <c r="H1004" s="22">
        <f t="shared" si="114"/>
        <v>49186.45</v>
      </c>
      <c r="I1004" s="22">
        <f t="shared" si="114"/>
        <v>45627.43</v>
      </c>
      <c r="J1004" s="22">
        <f t="shared" si="114"/>
        <v>42518.42</v>
      </c>
      <c r="K1004" s="22">
        <f t="shared" si="114"/>
        <v>42463.56</v>
      </c>
      <c r="L1004" s="22">
        <f t="shared" si="114"/>
        <v>42408.69</v>
      </c>
      <c r="M1004" s="22">
        <f t="shared" si="114"/>
        <v>42353.82</v>
      </c>
      <c r="N1004" s="22">
        <f t="shared" si="114"/>
        <v>42298.95</v>
      </c>
      <c r="O1004" s="30">
        <f t="shared" si="114"/>
        <v>42244.08</v>
      </c>
      <c r="P1004" s="22">
        <f>SUM(P1001:P1003)</f>
        <v>529939.03</v>
      </c>
    </row>
    <row r="1005" ht="13.5" customHeight="1">
      <c r="C1005" s="10"/>
    </row>
    <row r="1006" spans="1:3" ht="13.5" customHeight="1">
      <c r="A1006" s="1">
        <f>A1000+1</f>
        <v>63</v>
      </c>
      <c r="B1006" s="39"/>
      <c r="C1006" s="5" t="s">
        <v>294</v>
      </c>
    </row>
    <row r="1007" spans="3:16" ht="13.5" customHeight="1">
      <c r="C1007" s="4" t="s">
        <v>3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9">
        <v>0</v>
      </c>
      <c r="P1007" s="21">
        <f>SUM(D1007:O1007)</f>
        <v>0</v>
      </c>
    </row>
    <row r="1008" spans="3:16" ht="13.5" customHeight="1">
      <c r="C1008" s="4" t="s">
        <v>4</v>
      </c>
      <c r="D1008" s="48">
        <v>250</v>
      </c>
      <c r="P1008" s="21">
        <f>SUM(D1008:O1008)</f>
        <v>250</v>
      </c>
    </row>
    <row r="1009" spans="3:16" ht="13.5" customHeight="1" thickBot="1">
      <c r="C1009" s="4" t="s">
        <v>5</v>
      </c>
      <c r="D1009" s="21">
        <v>33982.84</v>
      </c>
      <c r="E1009" s="21">
        <v>33982.84</v>
      </c>
      <c r="F1009" s="21">
        <v>33982.84</v>
      </c>
      <c r="G1009" s="21">
        <v>33982.84</v>
      </c>
      <c r="H1009" s="21">
        <v>33982.84</v>
      </c>
      <c r="I1009" s="21">
        <v>33982.84</v>
      </c>
      <c r="J1009" s="21">
        <v>33982.84</v>
      </c>
      <c r="K1009" s="21">
        <v>33982.84</v>
      </c>
      <c r="L1009" s="21">
        <v>33982.84</v>
      </c>
      <c r="M1009" s="21">
        <v>33982.84</v>
      </c>
      <c r="N1009" s="21">
        <v>33982.84</v>
      </c>
      <c r="O1009" s="29">
        <v>33982.84</v>
      </c>
      <c r="P1009" s="21">
        <f>SUM(D1009:O1009)</f>
        <v>407794.07999999984</v>
      </c>
    </row>
    <row r="1010" spans="3:16" ht="13.5" customHeight="1" thickBot="1">
      <c r="C1010" s="6" t="s">
        <v>295</v>
      </c>
      <c r="D1010" s="22">
        <f>SUM(D1007:D1009)</f>
        <v>34232.84</v>
      </c>
      <c r="E1010" s="22">
        <f aca="true" t="shared" si="115" ref="E1010:O1010">SUM(E1007:E1009)</f>
        <v>33982.84</v>
      </c>
      <c r="F1010" s="22">
        <f t="shared" si="115"/>
        <v>33982.84</v>
      </c>
      <c r="G1010" s="22">
        <f t="shared" si="115"/>
        <v>33982.84</v>
      </c>
      <c r="H1010" s="22">
        <f t="shared" si="115"/>
        <v>33982.84</v>
      </c>
      <c r="I1010" s="22">
        <f t="shared" si="115"/>
        <v>33982.84</v>
      </c>
      <c r="J1010" s="22">
        <f t="shared" si="115"/>
        <v>33982.84</v>
      </c>
      <c r="K1010" s="22">
        <f t="shared" si="115"/>
        <v>33982.84</v>
      </c>
      <c r="L1010" s="22">
        <f t="shared" si="115"/>
        <v>33982.84</v>
      </c>
      <c r="M1010" s="22">
        <f t="shared" si="115"/>
        <v>33982.84</v>
      </c>
      <c r="N1010" s="22">
        <f t="shared" si="115"/>
        <v>33982.84</v>
      </c>
      <c r="O1010" s="30">
        <f t="shared" si="115"/>
        <v>33982.84</v>
      </c>
      <c r="P1010" s="22">
        <f>SUM(P1007:P1009)</f>
        <v>408044.07999999984</v>
      </c>
    </row>
    <row r="1011" ht="13.5" customHeight="1">
      <c r="C1011" s="10"/>
    </row>
    <row r="1012" spans="1:3" ht="13.5" customHeight="1">
      <c r="A1012" s="1">
        <f>A1006+1</f>
        <v>64</v>
      </c>
      <c r="B1012" s="39"/>
      <c r="C1012" s="5" t="s">
        <v>296</v>
      </c>
    </row>
    <row r="1013" spans="3:16" ht="13.5" customHeight="1">
      <c r="C1013" s="4" t="s">
        <v>3</v>
      </c>
      <c r="D1013" s="21">
        <v>0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9">
        <v>0</v>
      </c>
      <c r="P1013" s="21">
        <f>SUM(D1013:O1013)</f>
        <v>0</v>
      </c>
    </row>
    <row r="1014" spans="3:16" ht="13.5" customHeight="1">
      <c r="C1014" s="4" t="s">
        <v>4</v>
      </c>
      <c r="D1014" s="48">
        <v>250</v>
      </c>
      <c r="P1014" s="21">
        <f>SUM(D1014:O1014)</f>
        <v>250</v>
      </c>
    </row>
    <row r="1015" spans="3:16" ht="13.5" customHeight="1" thickBot="1">
      <c r="C1015" s="4" t="s">
        <v>5</v>
      </c>
      <c r="D1015" s="48">
        <f>33333.33+78010</f>
        <v>111343.33</v>
      </c>
      <c r="E1015" s="48">
        <f>33333.34+78010</f>
        <v>111343.34</v>
      </c>
      <c r="F1015" s="48">
        <f>33333.33+77647.5</f>
        <v>110980.83</v>
      </c>
      <c r="G1015" s="48">
        <f>33333.33+77647.5</f>
        <v>110980.83</v>
      </c>
      <c r="H1015" s="48">
        <f>33333.34+77647.5</f>
        <v>110980.84</v>
      </c>
      <c r="I1015" s="48">
        <f>33333.33+77285</f>
        <v>110618.33</v>
      </c>
      <c r="J1015" s="48">
        <f>33333.33+77285</f>
        <v>110618.33</v>
      </c>
      <c r="K1015" s="48">
        <f>33333.34+77285</f>
        <v>110618.34</v>
      </c>
      <c r="L1015" s="48">
        <f>33333.33+76922.5</f>
        <v>110255.83</v>
      </c>
      <c r="M1015" s="48">
        <f>33333.33+76922.5</f>
        <v>110255.83</v>
      </c>
      <c r="N1015" s="48">
        <f>33333.34+76922.5</f>
        <v>110255.84</v>
      </c>
      <c r="O1015" s="50">
        <f>35000+76560</f>
        <v>111560</v>
      </c>
      <c r="P1015" s="21">
        <f>SUM(D1015:O1015)</f>
        <v>1329811.67</v>
      </c>
    </row>
    <row r="1016" spans="3:16" ht="13.5" customHeight="1" thickBot="1">
      <c r="C1016" s="6" t="s">
        <v>142</v>
      </c>
      <c r="D1016" s="22">
        <f>SUM(D1013:D1015)</f>
        <v>111593.33</v>
      </c>
      <c r="E1016" s="22">
        <f aca="true" t="shared" si="116" ref="E1016:O1016">SUM(E1013:E1015)</f>
        <v>111343.34</v>
      </c>
      <c r="F1016" s="22">
        <f t="shared" si="116"/>
        <v>110980.83</v>
      </c>
      <c r="G1016" s="22">
        <f t="shared" si="116"/>
        <v>110980.83</v>
      </c>
      <c r="H1016" s="22">
        <f t="shared" si="116"/>
        <v>110980.84</v>
      </c>
      <c r="I1016" s="22">
        <f t="shared" si="116"/>
        <v>110618.33</v>
      </c>
      <c r="J1016" s="22">
        <f t="shared" si="116"/>
        <v>110618.33</v>
      </c>
      <c r="K1016" s="22">
        <f t="shared" si="116"/>
        <v>110618.34</v>
      </c>
      <c r="L1016" s="22">
        <f t="shared" si="116"/>
        <v>110255.83</v>
      </c>
      <c r="M1016" s="22">
        <f t="shared" si="116"/>
        <v>110255.83</v>
      </c>
      <c r="N1016" s="22">
        <f t="shared" si="116"/>
        <v>110255.84</v>
      </c>
      <c r="O1016" s="30">
        <f t="shared" si="116"/>
        <v>111560</v>
      </c>
      <c r="P1016" s="22">
        <f>SUM(P1013:P1015)</f>
        <v>1330061.67</v>
      </c>
    </row>
    <row r="1017" ht="13.5" customHeight="1">
      <c r="C1017" s="10"/>
    </row>
    <row r="1018" spans="2:3" ht="13.5" customHeight="1">
      <c r="B1018" s="37" t="s">
        <v>104</v>
      </c>
      <c r="C1018" s="25" t="s">
        <v>297</v>
      </c>
    </row>
    <row r="1019" spans="3:16" ht="13.5" customHeight="1">
      <c r="C1019" s="4" t="s">
        <v>3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/>
      <c r="L1019" s="21"/>
      <c r="M1019" s="21"/>
      <c r="N1019" s="21"/>
      <c r="O1019" s="29"/>
      <c r="P1019" s="21">
        <f>SUM(D1019:O1019)</f>
        <v>0</v>
      </c>
    </row>
    <row r="1020" spans="3:16" ht="13.5" customHeight="1">
      <c r="C1020" s="4" t="s">
        <v>4</v>
      </c>
      <c r="D1020" s="48">
        <v>250</v>
      </c>
      <c r="P1020" s="21">
        <f>SUM(D1020:O1020)</f>
        <v>250</v>
      </c>
    </row>
    <row r="1021" spans="3:16" ht="13.5" customHeight="1" thickBot="1">
      <c r="C1021" s="4" t="s">
        <v>5</v>
      </c>
      <c r="D1021" s="48">
        <f>20000+12574.17</f>
        <v>32574.17</v>
      </c>
      <c r="E1021" s="48">
        <f aca="true" t="shared" si="117" ref="E1021:J1021">20000+12574.17</f>
        <v>32574.17</v>
      </c>
      <c r="F1021" s="48">
        <f t="shared" si="117"/>
        <v>32574.17</v>
      </c>
      <c r="G1021" s="48">
        <f t="shared" si="117"/>
        <v>32574.17</v>
      </c>
      <c r="H1021" s="48">
        <f t="shared" si="117"/>
        <v>32574.17</v>
      </c>
      <c r="I1021" s="48">
        <f>20000+12574.15</f>
        <v>32574.15</v>
      </c>
      <c r="J1021" s="48">
        <f t="shared" si="117"/>
        <v>32574.17</v>
      </c>
      <c r="K1021" s="48"/>
      <c r="L1021" s="48"/>
      <c r="M1021" s="48"/>
      <c r="N1021" s="48"/>
      <c r="O1021" s="50"/>
      <c r="P1021" s="21">
        <f>SUM(D1021:O1021)</f>
        <v>228019.16999999998</v>
      </c>
    </row>
    <row r="1022" spans="3:16" ht="13.5" customHeight="1" thickBot="1">
      <c r="C1022" s="6" t="s">
        <v>298</v>
      </c>
      <c r="D1022" s="22">
        <f>SUM(D1019:D1021)</f>
        <v>32824.17</v>
      </c>
      <c r="E1022" s="22">
        <f aca="true" t="shared" si="118" ref="E1022:O1022">SUM(E1019:E1021)</f>
        <v>32574.17</v>
      </c>
      <c r="F1022" s="22">
        <f t="shared" si="118"/>
        <v>32574.17</v>
      </c>
      <c r="G1022" s="22">
        <f t="shared" si="118"/>
        <v>32574.17</v>
      </c>
      <c r="H1022" s="22">
        <f t="shared" si="118"/>
        <v>32574.17</v>
      </c>
      <c r="I1022" s="22">
        <f t="shared" si="118"/>
        <v>32574.15</v>
      </c>
      <c r="J1022" s="22">
        <f t="shared" si="118"/>
        <v>32574.17</v>
      </c>
      <c r="K1022" s="22">
        <f t="shared" si="118"/>
        <v>0</v>
      </c>
      <c r="L1022" s="22">
        <f t="shared" si="118"/>
        <v>0</v>
      </c>
      <c r="M1022" s="22">
        <f t="shared" si="118"/>
        <v>0</v>
      </c>
      <c r="N1022" s="22">
        <f t="shared" si="118"/>
        <v>0</v>
      </c>
      <c r="O1022" s="30">
        <f t="shared" si="118"/>
        <v>0</v>
      </c>
      <c r="P1022" s="22">
        <f>SUM(P1019:P1021)</f>
        <v>228269.16999999998</v>
      </c>
    </row>
    <row r="1023" ht="13.5" customHeight="1">
      <c r="C1023" s="10"/>
    </row>
    <row r="1024" spans="2:3" ht="13.5" customHeight="1">
      <c r="B1024" s="37" t="s">
        <v>104</v>
      </c>
      <c r="C1024" s="25" t="s">
        <v>299</v>
      </c>
    </row>
    <row r="1025" ht="13.5" customHeight="1">
      <c r="C1025" s="4" t="s">
        <v>3</v>
      </c>
    </row>
    <row r="1026" ht="13.5" customHeight="1">
      <c r="C1026" s="4" t="s">
        <v>4</v>
      </c>
    </row>
    <row r="1027" ht="13.5" customHeight="1" thickBot="1">
      <c r="C1027" s="4" t="s">
        <v>5</v>
      </c>
    </row>
    <row r="1028" ht="13.5" customHeight="1" thickBot="1">
      <c r="C1028" s="6" t="s">
        <v>184</v>
      </c>
    </row>
    <row r="1029" ht="13.5" customHeight="1">
      <c r="C1029" s="10"/>
    </row>
    <row r="1030" spans="1:3" ht="13.5" customHeight="1">
      <c r="A1030" s="1">
        <f>A1012+1</f>
        <v>65</v>
      </c>
      <c r="B1030" s="39"/>
      <c r="C1030" s="5" t="s">
        <v>300</v>
      </c>
    </row>
    <row r="1031" spans="3:16" ht="13.5" customHeight="1">
      <c r="C1031" s="4" t="s">
        <v>3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9">
        <v>0</v>
      </c>
      <c r="P1031" s="21">
        <f>SUM(D1031:O1031)</f>
        <v>0</v>
      </c>
    </row>
    <row r="1032" spans="3:16" ht="13.5" customHeight="1">
      <c r="C1032" s="4" t="s">
        <v>4</v>
      </c>
      <c r="D1032" s="48">
        <v>250</v>
      </c>
      <c r="P1032" s="21">
        <f>SUM(D1032:O1032)</f>
        <v>250</v>
      </c>
    </row>
    <row r="1033" spans="3:16" ht="13.5" customHeight="1" thickBot="1">
      <c r="C1033" s="4" t="s">
        <v>5</v>
      </c>
      <c r="D1033" s="21">
        <v>52815.46</v>
      </c>
      <c r="E1033" s="21">
        <v>52815.46</v>
      </c>
      <c r="F1033" s="21">
        <v>52815.46</v>
      </c>
      <c r="G1033" s="21">
        <v>52815.46</v>
      </c>
      <c r="H1033" s="21">
        <v>52815.46</v>
      </c>
      <c r="I1033" s="21">
        <v>52815.46</v>
      </c>
      <c r="J1033" s="21">
        <v>52815.46</v>
      </c>
      <c r="K1033" s="21">
        <v>52815.46</v>
      </c>
      <c r="L1033" s="21">
        <v>52815.46</v>
      </c>
      <c r="M1033" s="21">
        <v>52815.46</v>
      </c>
      <c r="N1033" s="21">
        <v>52815.46</v>
      </c>
      <c r="O1033" s="29">
        <v>52815.46</v>
      </c>
      <c r="P1033" s="21">
        <f>SUM(D1033:O1033)</f>
        <v>633785.52</v>
      </c>
    </row>
    <row r="1034" spans="3:16" ht="13.5" customHeight="1" thickBot="1">
      <c r="C1034" s="6" t="s">
        <v>244</v>
      </c>
      <c r="D1034" s="22">
        <f>SUM(D1031:D1033)</f>
        <v>53065.46</v>
      </c>
      <c r="E1034" s="22">
        <f aca="true" t="shared" si="119" ref="E1034:O1034">SUM(E1031:E1033)</f>
        <v>52815.46</v>
      </c>
      <c r="F1034" s="22">
        <f t="shared" si="119"/>
        <v>52815.46</v>
      </c>
      <c r="G1034" s="22">
        <f t="shared" si="119"/>
        <v>52815.46</v>
      </c>
      <c r="H1034" s="22">
        <f t="shared" si="119"/>
        <v>52815.46</v>
      </c>
      <c r="I1034" s="22">
        <f t="shared" si="119"/>
        <v>52815.46</v>
      </c>
      <c r="J1034" s="22">
        <f t="shared" si="119"/>
        <v>52815.46</v>
      </c>
      <c r="K1034" s="22">
        <f t="shared" si="119"/>
        <v>52815.46</v>
      </c>
      <c r="L1034" s="22">
        <f t="shared" si="119"/>
        <v>52815.46</v>
      </c>
      <c r="M1034" s="22">
        <f t="shared" si="119"/>
        <v>52815.46</v>
      </c>
      <c r="N1034" s="22">
        <f t="shared" si="119"/>
        <v>52815.46</v>
      </c>
      <c r="O1034" s="30">
        <f t="shared" si="119"/>
        <v>52815.46</v>
      </c>
      <c r="P1034" s="22">
        <f>SUM(P1031:P1033)</f>
        <v>634035.52</v>
      </c>
    </row>
    <row r="1035" ht="13.5" customHeight="1">
      <c r="C1035" s="10"/>
    </row>
    <row r="1036" spans="1:3" ht="13.5" customHeight="1">
      <c r="A1036" s="1">
        <f>A1030+1</f>
        <v>66</v>
      </c>
      <c r="B1036" s="39"/>
      <c r="C1036" s="5" t="s">
        <v>315</v>
      </c>
    </row>
    <row r="1037" spans="3:16" ht="13.5" customHeight="1">
      <c r="C1037" s="4" t="s">
        <v>3</v>
      </c>
      <c r="D1037" s="21">
        <v>0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9">
        <v>0</v>
      </c>
      <c r="P1037" s="21">
        <f>SUM(D1037:O1037)</f>
        <v>0</v>
      </c>
    </row>
    <row r="1038" spans="3:16" ht="13.5" customHeight="1">
      <c r="C1038" s="4" t="s">
        <v>4</v>
      </c>
      <c r="D1038" s="48">
        <v>250</v>
      </c>
      <c r="P1038" s="21">
        <f>SUM(D1038:O1038)</f>
        <v>250</v>
      </c>
    </row>
    <row r="1039" spans="3:16" ht="13.5" customHeight="1" thickBot="1">
      <c r="C1039" s="4" t="s">
        <v>5</v>
      </c>
      <c r="D1039" s="21">
        <v>73961.25</v>
      </c>
      <c r="E1039" s="21">
        <v>73961.25</v>
      </c>
      <c r="F1039" s="21">
        <v>73961.25</v>
      </c>
      <c r="G1039" s="21">
        <v>73961.25</v>
      </c>
      <c r="H1039" s="21">
        <v>73961.25</v>
      </c>
      <c r="I1039" s="21">
        <v>73961.25</v>
      </c>
      <c r="J1039" s="21">
        <v>73961.25</v>
      </c>
      <c r="K1039" s="21">
        <v>73961.25</v>
      </c>
      <c r="L1039" s="21">
        <v>73961.25</v>
      </c>
      <c r="M1039" s="21">
        <v>73961.25</v>
      </c>
      <c r="N1039" s="21">
        <v>73961.25</v>
      </c>
      <c r="O1039" s="29">
        <v>73961.25</v>
      </c>
      <c r="P1039" s="21">
        <f>SUM(D1039:O1039)</f>
        <v>887535</v>
      </c>
    </row>
    <row r="1040" spans="3:16" ht="13.5" customHeight="1" thickBot="1">
      <c r="C1040" s="6" t="s">
        <v>301</v>
      </c>
      <c r="D1040" s="22">
        <f>SUM(D1037:D1039)</f>
        <v>74211.25</v>
      </c>
      <c r="E1040" s="22">
        <f aca="true" t="shared" si="120" ref="E1040:O1040">SUM(E1037:E1039)</f>
        <v>73961.25</v>
      </c>
      <c r="F1040" s="22">
        <f t="shared" si="120"/>
        <v>73961.25</v>
      </c>
      <c r="G1040" s="22">
        <f t="shared" si="120"/>
        <v>73961.25</v>
      </c>
      <c r="H1040" s="22">
        <f t="shared" si="120"/>
        <v>73961.25</v>
      </c>
      <c r="I1040" s="22">
        <f t="shared" si="120"/>
        <v>73961.25</v>
      </c>
      <c r="J1040" s="22">
        <f t="shared" si="120"/>
        <v>73961.25</v>
      </c>
      <c r="K1040" s="22">
        <f t="shared" si="120"/>
        <v>73961.25</v>
      </c>
      <c r="L1040" s="22">
        <f t="shared" si="120"/>
        <v>73961.25</v>
      </c>
      <c r="M1040" s="22">
        <f t="shared" si="120"/>
        <v>73961.25</v>
      </c>
      <c r="N1040" s="22">
        <f t="shared" si="120"/>
        <v>73961.25</v>
      </c>
      <c r="O1040" s="30">
        <f t="shared" si="120"/>
        <v>73961.25</v>
      </c>
      <c r="P1040" s="22">
        <f>SUM(P1037:P1039)</f>
        <v>887785</v>
      </c>
    </row>
    <row r="1041" ht="13.5" customHeight="1">
      <c r="C1041" s="10"/>
    </row>
    <row r="1042" spans="2:3" ht="13.5" customHeight="1">
      <c r="B1042" s="41" t="s">
        <v>102</v>
      </c>
      <c r="C1042" s="42" t="s">
        <v>305</v>
      </c>
    </row>
    <row r="1043" ht="13.5" customHeight="1">
      <c r="C1043" s="4" t="s">
        <v>3</v>
      </c>
    </row>
    <row r="1044" ht="13.5" customHeight="1">
      <c r="C1044" s="4" t="s">
        <v>4</v>
      </c>
    </row>
    <row r="1045" ht="13.5" customHeight="1" thickBot="1">
      <c r="C1045" s="4" t="s">
        <v>5</v>
      </c>
    </row>
    <row r="1046" ht="13.5" customHeight="1" thickBot="1">
      <c r="C1046" s="6" t="s">
        <v>302</v>
      </c>
    </row>
    <row r="1047" ht="13.5" customHeight="1">
      <c r="C1047" s="10"/>
    </row>
    <row r="1048" spans="1:3" ht="13.5" customHeight="1">
      <c r="A1048" s="1">
        <f>A1036+1</f>
        <v>67</v>
      </c>
      <c r="B1048" s="39"/>
      <c r="C1048" s="5" t="s">
        <v>306</v>
      </c>
    </row>
    <row r="1049" spans="3:16" ht="13.5" customHeight="1">
      <c r="C1049" s="4" t="s">
        <v>3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9">
        <v>0</v>
      </c>
      <c r="P1049" s="21">
        <f>SUM(D1049:O1049)</f>
        <v>0</v>
      </c>
    </row>
    <row r="1050" spans="3:16" ht="13.5" customHeight="1">
      <c r="C1050" s="4" t="s">
        <v>4</v>
      </c>
      <c r="D1050" s="48">
        <v>250</v>
      </c>
      <c r="P1050" s="21">
        <f>SUM(D1050:O1050)</f>
        <v>250</v>
      </c>
    </row>
    <row r="1051" spans="3:16" ht="13.5" customHeight="1" thickBot="1">
      <c r="C1051" s="4" t="s">
        <v>5</v>
      </c>
      <c r="D1051" s="21">
        <v>44220</v>
      </c>
      <c r="E1051" s="21">
        <v>44220</v>
      </c>
      <c r="F1051" s="21">
        <v>44220</v>
      </c>
      <c r="G1051" s="21">
        <v>44220</v>
      </c>
      <c r="H1051" s="21">
        <v>44220</v>
      </c>
      <c r="I1051" s="21">
        <v>44220</v>
      </c>
      <c r="J1051" s="21">
        <v>44220</v>
      </c>
      <c r="K1051" s="21">
        <v>44220</v>
      </c>
      <c r="L1051" s="21">
        <v>44220</v>
      </c>
      <c r="M1051" s="21">
        <v>44220</v>
      </c>
      <c r="N1051" s="21">
        <v>44220</v>
      </c>
      <c r="O1051" s="29">
        <v>44220</v>
      </c>
      <c r="P1051" s="21">
        <f>SUM(D1051:O1051)</f>
        <v>530640</v>
      </c>
    </row>
    <row r="1052" spans="3:16" ht="13.5" customHeight="1" thickBot="1">
      <c r="C1052" s="6" t="s">
        <v>303</v>
      </c>
      <c r="D1052" s="22">
        <f>SUM(D1049:D1051)</f>
        <v>44470</v>
      </c>
      <c r="E1052" s="22">
        <f aca="true" t="shared" si="121" ref="E1052:O1052">SUM(E1049:E1051)</f>
        <v>44220</v>
      </c>
      <c r="F1052" s="22">
        <f t="shared" si="121"/>
        <v>44220</v>
      </c>
      <c r="G1052" s="22">
        <f t="shared" si="121"/>
        <v>44220</v>
      </c>
      <c r="H1052" s="22">
        <f t="shared" si="121"/>
        <v>44220</v>
      </c>
      <c r="I1052" s="22">
        <f t="shared" si="121"/>
        <v>44220</v>
      </c>
      <c r="J1052" s="22">
        <f t="shared" si="121"/>
        <v>44220</v>
      </c>
      <c r="K1052" s="22">
        <f t="shared" si="121"/>
        <v>44220</v>
      </c>
      <c r="L1052" s="22">
        <f t="shared" si="121"/>
        <v>44220</v>
      </c>
      <c r="M1052" s="22">
        <f t="shared" si="121"/>
        <v>44220</v>
      </c>
      <c r="N1052" s="22">
        <f t="shared" si="121"/>
        <v>44220</v>
      </c>
      <c r="O1052" s="30">
        <f t="shared" si="121"/>
        <v>44220</v>
      </c>
      <c r="P1052" s="22">
        <f>SUM(P1049:P1051)</f>
        <v>530890</v>
      </c>
    </row>
    <row r="1053" ht="13.5" customHeight="1">
      <c r="C1053" s="10"/>
    </row>
    <row r="1054" spans="1:3" ht="13.5" customHeight="1">
      <c r="A1054" s="1">
        <f>A1048+1</f>
        <v>68</v>
      </c>
      <c r="B1054" s="39"/>
      <c r="C1054" s="5" t="s">
        <v>307</v>
      </c>
    </row>
    <row r="1055" spans="3:16" ht="13.5" customHeight="1">
      <c r="C1055" s="4" t="s">
        <v>3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9">
        <v>0</v>
      </c>
      <c r="P1055" s="21">
        <f>SUM(D1055:O1055)</f>
        <v>0</v>
      </c>
    </row>
    <row r="1056" spans="3:16" ht="13.5" customHeight="1">
      <c r="C1056" s="4" t="s">
        <v>4</v>
      </c>
      <c r="D1056" s="48">
        <v>250</v>
      </c>
      <c r="P1056" s="21">
        <f>SUM(D1056:O1056)</f>
        <v>250</v>
      </c>
    </row>
    <row r="1057" spans="3:16" ht="13.5" customHeight="1" thickBot="1">
      <c r="C1057" s="4" t="s">
        <v>5</v>
      </c>
      <c r="D1057" s="21">
        <f>28750+87945</f>
        <v>116695</v>
      </c>
      <c r="E1057" s="21">
        <f aca="true" t="shared" si="122" ref="E1057:O1057">28750+87945</f>
        <v>116695</v>
      </c>
      <c r="F1057" s="21">
        <f t="shared" si="122"/>
        <v>116695</v>
      </c>
      <c r="G1057" s="21">
        <f t="shared" si="122"/>
        <v>116695</v>
      </c>
      <c r="H1057" s="21">
        <f t="shared" si="122"/>
        <v>116695</v>
      </c>
      <c r="I1057" s="21">
        <f t="shared" si="122"/>
        <v>116695</v>
      </c>
      <c r="J1057" s="21">
        <f t="shared" si="122"/>
        <v>116695</v>
      </c>
      <c r="K1057" s="21">
        <f t="shared" si="122"/>
        <v>116695</v>
      </c>
      <c r="L1057" s="21">
        <f t="shared" si="122"/>
        <v>116695</v>
      </c>
      <c r="M1057" s="21">
        <f t="shared" si="122"/>
        <v>116695</v>
      </c>
      <c r="N1057" s="21">
        <f t="shared" si="122"/>
        <v>116695</v>
      </c>
      <c r="O1057" s="29">
        <f t="shared" si="122"/>
        <v>116695</v>
      </c>
      <c r="P1057" s="21">
        <f>SUM(D1057:O1057)</f>
        <v>1400340</v>
      </c>
    </row>
    <row r="1058" spans="3:16" ht="13.5" customHeight="1" thickBot="1">
      <c r="C1058" s="6" t="s">
        <v>303</v>
      </c>
      <c r="D1058" s="22">
        <f>SUM(D1055:D1057)</f>
        <v>116945</v>
      </c>
      <c r="E1058" s="22">
        <f aca="true" t="shared" si="123" ref="E1058:O1058">SUM(E1055:E1057)</f>
        <v>116695</v>
      </c>
      <c r="F1058" s="22">
        <f t="shared" si="123"/>
        <v>116695</v>
      </c>
      <c r="G1058" s="22">
        <f t="shared" si="123"/>
        <v>116695</v>
      </c>
      <c r="H1058" s="22">
        <f t="shared" si="123"/>
        <v>116695</v>
      </c>
      <c r="I1058" s="22">
        <f t="shared" si="123"/>
        <v>116695</v>
      </c>
      <c r="J1058" s="22">
        <f t="shared" si="123"/>
        <v>116695</v>
      </c>
      <c r="K1058" s="22">
        <f t="shared" si="123"/>
        <v>116695</v>
      </c>
      <c r="L1058" s="22">
        <f t="shared" si="123"/>
        <v>116695</v>
      </c>
      <c r="M1058" s="22">
        <f t="shared" si="123"/>
        <v>116695</v>
      </c>
      <c r="N1058" s="22">
        <f t="shared" si="123"/>
        <v>116695</v>
      </c>
      <c r="O1058" s="30">
        <f t="shared" si="123"/>
        <v>116695</v>
      </c>
      <c r="P1058" s="22">
        <f>SUM(P1055:P1057)</f>
        <v>1400590</v>
      </c>
    </row>
    <row r="1059" ht="13.5" customHeight="1">
      <c r="C1059" s="10"/>
    </row>
    <row r="1060" spans="1:3" ht="13.5" customHeight="1">
      <c r="A1060" s="1">
        <f>A1054+1</f>
        <v>69</v>
      </c>
      <c r="B1060" s="39"/>
      <c r="C1060" s="5" t="s">
        <v>308</v>
      </c>
    </row>
    <row r="1061" spans="3:16" ht="13.5" customHeight="1">
      <c r="C1061" s="4" t="s">
        <v>3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9">
        <v>0</v>
      </c>
      <c r="P1061" s="21">
        <f>SUM(D1061:O1061)</f>
        <v>0</v>
      </c>
    </row>
    <row r="1062" spans="3:16" ht="13.5" customHeight="1">
      <c r="C1062" s="4" t="s">
        <v>4</v>
      </c>
      <c r="D1062" s="48">
        <v>250</v>
      </c>
      <c r="P1062" s="21">
        <f>SUM(D1062:O1062)</f>
        <v>250</v>
      </c>
    </row>
    <row r="1063" spans="3:16" ht="13.5" customHeight="1" thickBot="1">
      <c r="C1063" s="4" t="s">
        <v>5</v>
      </c>
      <c r="D1063" s="21">
        <v>54491.25</v>
      </c>
      <c r="E1063" s="21">
        <v>54491.25</v>
      </c>
      <c r="F1063" s="21">
        <v>54491.25</v>
      </c>
      <c r="G1063" s="21">
        <v>54491.25</v>
      </c>
      <c r="H1063" s="21">
        <v>54491.25</v>
      </c>
      <c r="I1063" s="21">
        <v>54491.25</v>
      </c>
      <c r="J1063" s="21">
        <v>54491.25</v>
      </c>
      <c r="K1063" s="21">
        <v>54491.25</v>
      </c>
      <c r="L1063" s="21">
        <v>54491.25</v>
      </c>
      <c r="M1063" s="21">
        <v>54491.25</v>
      </c>
      <c r="N1063" s="21">
        <v>54491.25</v>
      </c>
      <c r="O1063" s="29">
        <v>54491.25</v>
      </c>
      <c r="P1063" s="21">
        <f>SUM(D1063:O1063)</f>
        <v>653895</v>
      </c>
    </row>
    <row r="1064" spans="3:16" ht="13.5" customHeight="1" thickBot="1">
      <c r="C1064" s="6" t="s">
        <v>304</v>
      </c>
      <c r="D1064" s="22">
        <f>SUM(D1061:D1063)</f>
        <v>54741.25</v>
      </c>
      <c r="E1064" s="22">
        <f aca="true" t="shared" si="124" ref="E1064:O1064">SUM(E1061:E1063)</f>
        <v>54491.25</v>
      </c>
      <c r="F1064" s="22">
        <f t="shared" si="124"/>
        <v>54491.25</v>
      </c>
      <c r="G1064" s="22">
        <f t="shared" si="124"/>
        <v>54491.25</v>
      </c>
      <c r="H1064" s="22">
        <f t="shared" si="124"/>
        <v>54491.25</v>
      </c>
      <c r="I1064" s="22">
        <f t="shared" si="124"/>
        <v>54491.25</v>
      </c>
      <c r="J1064" s="22">
        <f t="shared" si="124"/>
        <v>54491.25</v>
      </c>
      <c r="K1064" s="22">
        <f t="shared" si="124"/>
        <v>54491.25</v>
      </c>
      <c r="L1064" s="22">
        <f t="shared" si="124"/>
        <v>54491.25</v>
      </c>
      <c r="M1064" s="22">
        <f t="shared" si="124"/>
        <v>54491.25</v>
      </c>
      <c r="N1064" s="22">
        <f t="shared" si="124"/>
        <v>54491.25</v>
      </c>
      <c r="O1064" s="30">
        <f t="shared" si="124"/>
        <v>54491.25</v>
      </c>
      <c r="P1064" s="22">
        <f>SUM(P1061:P1063)</f>
        <v>654145</v>
      </c>
    </row>
    <row r="1065" ht="13.5" customHeight="1">
      <c r="C1065" s="10"/>
    </row>
    <row r="1066" spans="1:3" ht="13.5" customHeight="1">
      <c r="A1066" s="1">
        <f>A1060+1</f>
        <v>70</v>
      </c>
      <c r="B1066" s="39"/>
      <c r="C1066" s="5" t="s">
        <v>309</v>
      </c>
    </row>
    <row r="1067" spans="3:16" ht="13.5" customHeight="1">
      <c r="C1067" s="4" t="s">
        <v>3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9">
        <v>0</v>
      </c>
      <c r="P1067" s="21">
        <f>SUM(D1067:O1067)</f>
        <v>0</v>
      </c>
    </row>
    <row r="1068" spans="3:16" ht="13.5" customHeight="1">
      <c r="C1068" s="4" t="s">
        <v>4</v>
      </c>
      <c r="D1068" s="48">
        <v>250</v>
      </c>
      <c r="P1068" s="21">
        <f>SUM(D1068:O1068)</f>
        <v>250</v>
      </c>
    </row>
    <row r="1069" spans="3:16" ht="13.5" customHeight="1" thickBot="1">
      <c r="C1069" s="4" t="s">
        <v>5</v>
      </c>
      <c r="D1069" s="48">
        <f>16666.67+75257.5</f>
        <v>91924.17</v>
      </c>
      <c r="E1069" s="48">
        <f aca="true" t="shared" si="125" ref="E1069:N1069">16666.67+75257.5</f>
        <v>91924.17</v>
      </c>
      <c r="F1069" s="48">
        <f t="shared" si="125"/>
        <v>91924.17</v>
      </c>
      <c r="G1069" s="48">
        <f t="shared" si="125"/>
        <v>91924.17</v>
      </c>
      <c r="H1069" s="48">
        <f t="shared" si="125"/>
        <v>91924.17</v>
      </c>
      <c r="I1069" s="48">
        <f t="shared" si="125"/>
        <v>91924.17</v>
      </c>
      <c r="J1069" s="48">
        <f t="shared" si="125"/>
        <v>91924.17</v>
      </c>
      <c r="K1069" s="48">
        <f t="shared" si="125"/>
        <v>91924.17</v>
      </c>
      <c r="L1069" s="48">
        <f t="shared" si="125"/>
        <v>91924.17</v>
      </c>
      <c r="M1069" s="48">
        <f t="shared" si="125"/>
        <v>91924.17</v>
      </c>
      <c r="N1069" s="48">
        <f t="shared" si="125"/>
        <v>91924.17</v>
      </c>
      <c r="O1069" s="50">
        <f>16666.63+75257.5</f>
        <v>91924.13</v>
      </c>
      <c r="P1069" s="21">
        <f>SUM(D1069:O1069)</f>
        <v>1103090.0000000002</v>
      </c>
    </row>
    <row r="1070" spans="3:16" ht="13.5" customHeight="1" thickBot="1">
      <c r="C1070" s="6" t="s">
        <v>304</v>
      </c>
      <c r="D1070" s="22">
        <f>SUM(D1067:D1069)</f>
        <v>92174.17</v>
      </c>
      <c r="E1070" s="22">
        <f aca="true" t="shared" si="126" ref="E1070:O1070">SUM(E1067:E1069)</f>
        <v>91924.17</v>
      </c>
      <c r="F1070" s="22">
        <f t="shared" si="126"/>
        <v>91924.17</v>
      </c>
      <c r="G1070" s="22">
        <f t="shared" si="126"/>
        <v>91924.17</v>
      </c>
      <c r="H1070" s="22">
        <f t="shared" si="126"/>
        <v>91924.17</v>
      </c>
      <c r="I1070" s="22">
        <f t="shared" si="126"/>
        <v>91924.17</v>
      </c>
      <c r="J1070" s="22">
        <f t="shared" si="126"/>
        <v>91924.17</v>
      </c>
      <c r="K1070" s="22">
        <f t="shared" si="126"/>
        <v>91924.17</v>
      </c>
      <c r="L1070" s="22">
        <f t="shared" si="126"/>
        <v>91924.17</v>
      </c>
      <c r="M1070" s="22">
        <f t="shared" si="126"/>
        <v>91924.17</v>
      </c>
      <c r="N1070" s="22">
        <f t="shared" si="126"/>
        <v>91924.17</v>
      </c>
      <c r="O1070" s="30">
        <f t="shared" si="126"/>
        <v>91924.13</v>
      </c>
      <c r="P1070" s="22">
        <f>SUM(P1067:P1069)</f>
        <v>1103340.0000000002</v>
      </c>
    </row>
    <row r="1071" ht="13.5" customHeight="1">
      <c r="C1071" s="10"/>
    </row>
    <row r="1072" spans="1:3" ht="13.5" customHeight="1">
      <c r="A1072" s="1">
        <f>A1066+1</f>
        <v>71</v>
      </c>
      <c r="B1072" s="39"/>
      <c r="C1072" s="5" t="s">
        <v>310</v>
      </c>
    </row>
    <row r="1073" spans="3:16" ht="13.5" customHeight="1">
      <c r="C1073" s="4" t="s">
        <v>3</v>
      </c>
      <c r="D1073" s="21">
        <v>859.17</v>
      </c>
      <c r="E1073" s="21">
        <v>859.17</v>
      </c>
      <c r="F1073" s="21">
        <v>859.17</v>
      </c>
      <c r="G1073" s="21">
        <v>859.17</v>
      </c>
      <c r="H1073" s="21">
        <v>859.17</v>
      </c>
      <c r="I1073" s="21">
        <v>859.17</v>
      </c>
      <c r="J1073" s="21">
        <v>859.17</v>
      </c>
      <c r="K1073" s="21">
        <v>859.17</v>
      </c>
      <c r="L1073" s="21">
        <v>859.17</v>
      </c>
      <c r="M1073" s="21">
        <v>859.17</v>
      </c>
      <c r="N1073" s="21">
        <v>859.17</v>
      </c>
      <c r="O1073" s="29">
        <v>859.17</v>
      </c>
      <c r="P1073" s="21">
        <f>SUM(D1073:O1073)</f>
        <v>10310.039999999999</v>
      </c>
    </row>
    <row r="1074" spans="3:16" ht="13.5" customHeight="1">
      <c r="C1074" s="4" t="s">
        <v>4</v>
      </c>
      <c r="D1074" s="48">
        <v>250</v>
      </c>
      <c r="P1074" s="21">
        <f>SUM(D1074:O1074)</f>
        <v>250</v>
      </c>
    </row>
    <row r="1075" spans="3:16" ht="13.5" customHeight="1" thickBot="1">
      <c r="C1075" s="4" t="s">
        <v>5</v>
      </c>
      <c r="D1075" s="21">
        <v>50752.92</v>
      </c>
      <c r="E1075" s="21">
        <v>50752.92</v>
      </c>
      <c r="F1075" s="21">
        <v>50752.92</v>
      </c>
      <c r="G1075" s="21">
        <v>50752.92</v>
      </c>
      <c r="H1075" s="21">
        <v>50752.92</v>
      </c>
      <c r="I1075" s="21">
        <v>50752.92</v>
      </c>
      <c r="J1075" s="21">
        <v>50752.92</v>
      </c>
      <c r="K1075" s="21">
        <v>50752.92</v>
      </c>
      <c r="L1075" s="21">
        <v>50752.92</v>
      </c>
      <c r="M1075" s="21">
        <v>50752.92</v>
      </c>
      <c r="N1075" s="21">
        <v>50752.92</v>
      </c>
      <c r="O1075" s="29">
        <v>50856.26</v>
      </c>
      <c r="P1075" s="21">
        <f>SUM(D1075:O1075)</f>
        <v>609138.3799999999</v>
      </c>
    </row>
    <row r="1076" spans="3:16" ht="13.5" customHeight="1" thickBot="1">
      <c r="C1076" s="6" t="s">
        <v>311</v>
      </c>
      <c r="D1076" s="22">
        <f>SUM(D1073:D1075)</f>
        <v>51862.09</v>
      </c>
      <c r="E1076" s="22">
        <f aca="true" t="shared" si="127" ref="E1076:O1076">SUM(E1073:E1075)</f>
        <v>51612.09</v>
      </c>
      <c r="F1076" s="22">
        <f t="shared" si="127"/>
        <v>51612.09</v>
      </c>
      <c r="G1076" s="22">
        <f t="shared" si="127"/>
        <v>51612.09</v>
      </c>
      <c r="H1076" s="22">
        <f t="shared" si="127"/>
        <v>51612.09</v>
      </c>
      <c r="I1076" s="22">
        <f t="shared" si="127"/>
        <v>51612.09</v>
      </c>
      <c r="J1076" s="22">
        <f t="shared" si="127"/>
        <v>51612.09</v>
      </c>
      <c r="K1076" s="22">
        <f t="shared" si="127"/>
        <v>51612.09</v>
      </c>
      <c r="L1076" s="22">
        <f t="shared" si="127"/>
        <v>51612.09</v>
      </c>
      <c r="M1076" s="22">
        <f t="shared" si="127"/>
        <v>51612.09</v>
      </c>
      <c r="N1076" s="22">
        <f t="shared" si="127"/>
        <v>51612.09</v>
      </c>
      <c r="O1076" s="30">
        <f t="shared" si="127"/>
        <v>51715.43</v>
      </c>
      <c r="P1076" s="22">
        <f>SUM(P1073:P1075)</f>
        <v>619698.4199999999</v>
      </c>
    </row>
    <row r="1077" ht="13.5" customHeight="1">
      <c r="C1077" s="10"/>
    </row>
    <row r="1078" spans="1:3" ht="13.5" customHeight="1">
      <c r="A1078" s="1">
        <f>A1072+1</f>
        <v>72</v>
      </c>
      <c r="B1078" s="39"/>
      <c r="C1078" s="5" t="s">
        <v>312</v>
      </c>
    </row>
    <row r="1079" spans="3:16" ht="13.5" customHeight="1">
      <c r="C1079" s="4" t="s">
        <v>3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9">
        <v>0</v>
      </c>
      <c r="P1079" s="21">
        <f>SUM(D1079:O1079)</f>
        <v>0</v>
      </c>
    </row>
    <row r="1080" spans="3:16" ht="13.5" customHeight="1">
      <c r="C1080" s="4" t="s">
        <v>4</v>
      </c>
      <c r="D1080" s="48">
        <v>250</v>
      </c>
      <c r="P1080" s="21">
        <f>SUM(D1080:O1080)</f>
        <v>250</v>
      </c>
    </row>
    <row r="1081" spans="3:16" ht="13.5" customHeight="1" thickBot="1">
      <c r="C1081" s="4" t="s">
        <v>5</v>
      </c>
      <c r="D1081" s="48">
        <f>12970+17792.75</f>
        <v>30762.75</v>
      </c>
      <c r="E1081" s="48">
        <f>12970+17753.41</f>
        <v>30723.41</v>
      </c>
      <c r="F1081" s="48">
        <f>12970+17714.06</f>
        <v>30684.06</v>
      </c>
      <c r="G1081" s="48">
        <f>12970+17674.72</f>
        <v>30644.72</v>
      </c>
      <c r="H1081" s="48">
        <f>12970+17635.38</f>
        <v>30605.38</v>
      </c>
      <c r="I1081" s="48">
        <f>12970+17596.04</f>
        <v>30566.04</v>
      </c>
      <c r="J1081" s="48">
        <f>12970+17556.69</f>
        <v>30526.69</v>
      </c>
      <c r="K1081" s="48">
        <f>12970+17517.35</f>
        <v>30487.35</v>
      </c>
      <c r="L1081" s="48">
        <f>12970+17478.01</f>
        <v>30448.01</v>
      </c>
      <c r="M1081" s="48">
        <f>12970+17438.67</f>
        <v>30408.67</v>
      </c>
      <c r="N1081" s="48">
        <f>12970+17399.32</f>
        <v>30369.32</v>
      </c>
      <c r="O1081" s="50">
        <f>12973+17359.98</f>
        <v>30332.98</v>
      </c>
      <c r="P1081" s="21">
        <f>SUM(D1081:O1081)</f>
        <v>366559.38</v>
      </c>
    </row>
    <row r="1082" spans="3:16" ht="13.5" customHeight="1" thickBot="1">
      <c r="C1082" s="6" t="s">
        <v>126</v>
      </c>
      <c r="D1082" s="22">
        <f>SUM(D1079:D1081)</f>
        <v>31012.75</v>
      </c>
      <c r="E1082" s="22">
        <f aca="true" t="shared" si="128" ref="E1082:O1082">SUM(E1079:E1081)</f>
        <v>30723.41</v>
      </c>
      <c r="F1082" s="22">
        <f t="shared" si="128"/>
        <v>30684.06</v>
      </c>
      <c r="G1082" s="22">
        <f t="shared" si="128"/>
        <v>30644.72</v>
      </c>
      <c r="H1082" s="22">
        <f t="shared" si="128"/>
        <v>30605.38</v>
      </c>
      <c r="I1082" s="22">
        <f t="shared" si="128"/>
        <v>30566.04</v>
      </c>
      <c r="J1082" s="22">
        <f t="shared" si="128"/>
        <v>30526.69</v>
      </c>
      <c r="K1082" s="22">
        <f t="shared" si="128"/>
        <v>30487.35</v>
      </c>
      <c r="L1082" s="22">
        <f t="shared" si="128"/>
        <v>30448.01</v>
      </c>
      <c r="M1082" s="22">
        <f t="shared" si="128"/>
        <v>30408.67</v>
      </c>
      <c r="N1082" s="22">
        <f t="shared" si="128"/>
        <v>30369.32</v>
      </c>
      <c r="O1082" s="30">
        <f t="shared" si="128"/>
        <v>30332.98</v>
      </c>
      <c r="P1082" s="22">
        <f>SUM(P1079:P1081)</f>
        <v>366809.38</v>
      </c>
    </row>
    <row r="1083" ht="13.5" customHeight="1">
      <c r="C1083" s="10"/>
    </row>
    <row r="1084" spans="1:3" ht="13.5" customHeight="1">
      <c r="A1084" s="1">
        <f>A1078+1</f>
        <v>73</v>
      </c>
      <c r="B1084" s="39"/>
      <c r="C1084" s="5" t="s">
        <v>313</v>
      </c>
    </row>
    <row r="1085" spans="3:16" ht="13.5" customHeight="1">
      <c r="C1085" s="4" t="s">
        <v>3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9">
        <v>0</v>
      </c>
      <c r="P1085" s="21">
        <f>SUM(D1085:O1085)</f>
        <v>0</v>
      </c>
    </row>
    <row r="1086" spans="3:16" ht="13.5" customHeight="1">
      <c r="C1086" s="4" t="s">
        <v>4</v>
      </c>
      <c r="D1086" s="48">
        <v>250</v>
      </c>
      <c r="P1086" s="21">
        <f>SUM(D1086:O1086)</f>
        <v>250</v>
      </c>
    </row>
    <row r="1087" spans="3:16" ht="13.5" customHeight="1" thickBot="1">
      <c r="C1087" s="4" t="s">
        <v>5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9">
        <v>0</v>
      </c>
      <c r="P1087" s="21">
        <f>SUM(D1087:O1087)</f>
        <v>0</v>
      </c>
    </row>
    <row r="1088" spans="3:16" ht="13.5" customHeight="1" thickBot="1">
      <c r="C1088" s="6" t="s">
        <v>95</v>
      </c>
      <c r="D1088" s="22">
        <f>SUM(D1085:D1087)</f>
        <v>250</v>
      </c>
      <c r="E1088" s="22">
        <f aca="true" t="shared" si="129" ref="E1088:O1088">SUM(E1085:E1087)</f>
        <v>0</v>
      </c>
      <c r="F1088" s="22">
        <f t="shared" si="129"/>
        <v>0</v>
      </c>
      <c r="G1088" s="22">
        <f t="shared" si="129"/>
        <v>0</v>
      </c>
      <c r="H1088" s="22">
        <f t="shared" si="129"/>
        <v>0</v>
      </c>
      <c r="I1088" s="22">
        <f t="shared" si="129"/>
        <v>0</v>
      </c>
      <c r="J1088" s="22">
        <f t="shared" si="129"/>
        <v>0</v>
      </c>
      <c r="K1088" s="22">
        <f t="shared" si="129"/>
        <v>0</v>
      </c>
      <c r="L1088" s="22">
        <f t="shared" si="129"/>
        <v>0</v>
      </c>
      <c r="M1088" s="22">
        <f t="shared" si="129"/>
        <v>0</v>
      </c>
      <c r="N1088" s="22">
        <f t="shared" si="129"/>
        <v>0</v>
      </c>
      <c r="O1088" s="30">
        <f t="shared" si="129"/>
        <v>0</v>
      </c>
      <c r="P1088" s="22">
        <f>SUM(P1085:P1087)</f>
        <v>250</v>
      </c>
    </row>
    <row r="1089" ht="13.5" customHeight="1">
      <c r="C1089" s="10"/>
    </row>
    <row r="1090" spans="2:3" ht="13.5" customHeight="1">
      <c r="B1090" s="37" t="s">
        <v>104</v>
      </c>
      <c r="C1090" s="25" t="s">
        <v>314</v>
      </c>
    </row>
    <row r="1091" ht="13.5" customHeight="1">
      <c r="C1091" s="4" t="s">
        <v>3</v>
      </c>
    </row>
    <row r="1092" ht="13.5" customHeight="1">
      <c r="C1092" s="4" t="s">
        <v>4</v>
      </c>
    </row>
    <row r="1093" ht="13.5" customHeight="1" thickBot="1">
      <c r="C1093" s="4" t="s">
        <v>5</v>
      </c>
    </row>
    <row r="1094" ht="13.5" customHeight="1" thickBot="1">
      <c r="C1094" s="6" t="s">
        <v>301</v>
      </c>
    </row>
    <row r="1095" ht="13.5" customHeight="1">
      <c r="C1095" s="10"/>
    </row>
    <row r="1096" spans="1:3" ht="13.5" customHeight="1">
      <c r="A1096" s="1">
        <f>A1084+1</f>
        <v>74</v>
      </c>
      <c r="B1096" s="40" t="s">
        <v>248</v>
      </c>
      <c r="C1096" s="5" t="s">
        <v>316</v>
      </c>
    </row>
    <row r="1097" spans="3:16" ht="13.5" customHeight="1">
      <c r="C1097" s="4" t="s">
        <v>3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9">
        <v>0</v>
      </c>
      <c r="P1097" s="21">
        <f>SUM(D1097:O1097)</f>
        <v>0</v>
      </c>
    </row>
    <row r="1098" spans="3:16" ht="13.5" customHeight="1">
      <c r="C1098" s="4" t="s">
        <v>4</v>
      </c>
      <c r="D1098" s="48">
        <v>74.33</v>
      </c>
      <c r="P1098" s="21">
        <f>SUM(D1098:O1098)</f>
        <v>74.33</v>
      </c>
    </row>
    <row r="1099" spans="3:16" ht="13.5" customHeight="1" thickBot="1">
      <c r="C1099" s="4" t="s">
        <v>5</v>
      </c>
      <c r="D1099" s="21">
        <v>25701.8</v>
      </c>
      <c r="E1099" s="21">
        <v>25701.8</v>
      </c>
      <c r="F1099" s="21">
        <v>25701.8</v>
      </c>
      <c r="G1099" s="21">
        <v>25701.81</v>
      </c>
      <c r="H1099" s="21">
        <v>25701.81</v>
      </c>
      <c r="I1099" s="21">
        <v>25701.81</v>
      </c>
      <c r="J1099" s="21">
        <v>25701.81</v>
      </c>
      <c r="K1099" s="21">
        <v>25701.8</v>
      </c>
      <c r="L1099" s="21">
        <v>25701.81</v>
      </c>
      <c r="M1099" s="21">
        <v>25701.8</v>
      </c>
      <c r="N1099" s="21">
        <v>25701.8</v>
      </c>
      <c r="O1099" s="29">
        <v>25701.81</v>
      </c>
      <c r="P1099" s="21">
        <f>SUM(D1099:O1099)</f>
        <v>308421.66</v>
      </c>
    </row>
    <row r="1100" spans="3:16" ht="13.5" customHeight="1" thickBot="1">
      <c r="C1100" s="6" t="s">
        <v>30</v>
      </c>
      <c r="D1100" s="22">
        <f>SUM(D1097:D1099)</f>
        <v>25776.13</v>
      </c>
      <c r="E1100" s="22">
        <f aca="true" t="shared" si="130" ref="E1100:O1100">SUM(E1097:E1099)</f>
        <v>25701.8</v>
      </c>
      <c r="F1100" s="22">
        <f t="shared" si="130"/>
        <v>25701.8</v>
      </c>
      <c r="G1100" s="22">
        <f t="shared" si="130"/>
        <v>25701.81</v>
      </c>
      <c r="H1100" s="22">
        <f t="shared" si="130"/>
        <v>25701.81</v>
      </c>
      <c r="I1100" s="22">
        <f t="shared" si="130"/>
        <v>25701.81</v>
      </c>
      <c r="J1100" s="22">
        <f t="shared" si="130"/>
        <v>25701.81</v>
      </c>
      <c r="K1100" s="22">
        <f t="shared" si="130"/>
        <v>25701.8</v>
      </c>
      <c r="L1100" s="22">
        <f t="shared" si="130"/>
        <v>25701.81</v>
      </c>
      <c r="M1100" s="22">
        <f t="shared" si="130"/>
        <v>25701.8</v>
      </c>
      <c r="N1100" s="22">
        <f t="shared" si="130"/>
        <v>25701.8</v>
      </c>
      <c r="O1100" s="30">
        <f t="shared" si="130"/>
        <v>25701.81</v>
      </c>
      <c r="P1100" s="22">
        <f>SUM(P1097:P1099)</f>
        <v>308495.99</v>
      </c>
    </row>
    <row r="1101" ht="13.5" customHeight="1">
      <c r="C1101" s="10"/>
    </row>
    <row r="1102" spans="1:3" ht="13.5" customHeight="1">
      <c r="A1102" s="1">
        <f>A1096</f>
        <v>74</v>
      </c>
      <c r="B1102" s="40" t="s">
        <v>249</v>
      </c>
      <c r="C1102" s="5" t="s">
        <v>317</v>
      </c>
    </row>
    <row r="1103" spans="3:16" ht="13.5" customHeight="1">
      <c r="C1103" s="4" t="s">
        <v>3</v>
      </c>
      <c r="D1103" s="21">
        <v>0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9">
        <v>0</v>
      </c>
      <c r="P1103" s="21">
        <f>SUM(D1103:O1103)</f>
        <v>0</v>
      </c>
    </row>
    <row r="1104" spans="3:16" ht="13.5" customHeight="1">
      <c r="C1104" s="4" t="s">
        <v>4</v>
      </c>
      <c r="D1104" s="48">
        <v>77.7</v>
      </c>
      <c r="P1104" s="21">
        <f>SUM(D1104:O1104)</f>
        <v>77.7</v>
      </c>
    </row>
    <row r="1105" spans="3:16" ht="13.5" customHeight="1" thickBot="1">
      <c r="C1105" s="4" t="s">
        <v>5</v>
      </c>
      <c r="D1105" s="21">
        <v>26868.89</v>
      </c>
      <c r="E1105" s="21">
        <v>26868.89</v>
      </c>
      <c r="F1105" s="21">
        <v>26868.89</v>
      </c>
      <c r="G1105" s="21">
        <v>26868.88</v>
      </c>
      <c r="H1105" s="21">
        <v>26868.89</v>
      </c>
      <c r="I1105" s="21">
        <v>26868.89</v>
      </c>
      <c r="J1105" s="21">
        <v>26868.89</v>
      </c>
      <c r="K1105" s="21">
        <v>26868.89</v>
      </c>
      <c r="L1105" s="21">
        <v>26868.89</v>
      </c>
      <c r="M1105" s="21">
        <v>26868.89</v>
      </c>
      <c r="N1105" s="21">
        <v>26868.89</v>
      </c>
      <c r="O1105" s="29">
        <v>26868.89</v>
      </c>
      <c r="P1105" s="21">
        <f>SUM(D1105:O1105)</f>
        <v>322426.6700000001</v>
      </c>
    </row>
    <row r="1106" spans="3:16" ht="13.5" customHeight="1" thickBot="1">
      <c r="C1106" s="6" t="s">
        <v>32</v>
      </c>
      <c r="D1106" s="22">
        <f>SUM(D1103:D1105)</f>
        <v>26946.59</v>
      </c>
      <c r="E1106" s="22">
        <f aca="true" t="shared" si="131" ref="E1106:O1106">SUM(E1103:E1105)</f>
        <v>26868.89</v>
      </c>
      <c r="F1106" s="22">
        <f t="shared" si="131"/>
        <v>26868.89</v>
      </c>
      <c r="G1106" s="22">
        <f t="shared" si="131"/>
        <v>26868.88</v>
      </c>
      <c r="H1106" s="22">
        <f t="shared" si="131"/>
        <v>26868.89</v>
      </c>
      <c r="I1106" s="22">
        <f t="shared" si="131"/>
        <v>26868.89</v>
      </c>
      <c r="J1106" s="22">
        <f t="shared" si="131"/>
        <v>26868.89</v>
      </c>
      <c r="K1106" s="22">
        <f t="shared" si="131"/>
        <v>26868.89</v>
      </c>
      <c r="L1106" s="22">
        <f t="shared" si="131"/>
        <v>26868.89</v>
      </c>
      <c r="M1106" s="22">
        <f t="shared" si="131"/>
        <v>26868.89</v>
      </c>
      <c r="N1106" s="22">
        <f t="shared" si="131"/>
        <v>26868.89</v>
      </c>
      <c r="O1106" s="30">
        <f t="shared" si="131"/>
        <v>26868.89</v>
      </c>
      <c r="P1106" s="22">
        <f>SUM(P1103:P1105)</f>
        <v>322504.3700000001</v>
      </c>
    </row>
    <row r="1107" ht="13.5" customHeight="1">
      <c r="C1107" s="10"/>
    </row>
    <row r="1108" spans="1:3" ht="13.5" customHeight="1">
      <c r="A1108" s="1">
        <f>A1096</f>
        <v>74</v>
      </c>
      <c r="B1108" s="40" t="s">
        <v>250</v>
      </c>
      <c r="C1108" s="5" t="s">
        <v>318</v>
      </c>
    </row>
    <row r="1109" spans="3:16" ht="13.5" customHeight="1">
      <c r="C1109" s="4" t="s">
        <v>3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9">
        <v>0</v>
      </c>
      <c r="P1109" s="21">
        <f>SUM(D1109:O1109)</f>
        <v>0</v>
      </c>
    </row>
    <row r="1110" spans="3:16" ht="13.5" customHeight="1">
      <c r="C1110" s="4" t="s">
        <v>4</v>
      </c>
      <c r="D1110" s="48">
        <v>97.97</v>
      </c>
      <c r="P1110" s="21">
        <f>SUM(D1110:O1110)</f>
        <v>97.97</v>
      </c>
    </row>
    <row r="1111" spans="3:16" ht="13.5" customHeight="1" thickBot="1">
      <c r="C1111" s="4" t="s">
        <v>5</v>
      </c>
      <c r="D1111" s="21">
        <v>33880.05</v>
      </c>
      <c r="E1111" s="21">
        <v>33880.04</v>
      </c>
      <c r="F1111" s="21">
        <v>33880.05</v>
      </c>
      <c r="G1111" s="21">
        <v>33880.05</v>
      </c>
      <c r="H1111" s="21">
        <v>33880.05</v>
      </c>
      <c r="I1111" s="21">
        <v>33880.04</v>
      </c>
      <c r="J1111" s="21">
        <v>33880.04</v>
      </c>
      <c r="K1111" s="21">
        <v>33880.04</v>
      </c>
      <c r="L1111" s="21">
        <v>33880.05</v>
      </c>
      <c r="M1111" s="21">
        <v>33880.05</v>
      </c>
      <c r="N1111" s="21">
        <v>33880.05</v>
      </c>
      <c r="O1111" s="29">
        <v>33880.04</v>
      </c>
      <c r="P1111" s="21">
        <f>SUM(D1111:O1111)</f>
        <v>406560.54999999993</v>
      </c>
    </row>
    <row r="1112" spans="3:16" ht="13.5" customHeight="1" thickBot="1">
      <c r="C1112" s="6" t="s">
        <v>82</v>
      </c>
      <c r="D1112" s="22">
        <f>SUM(D1109:D1111)</f>
        <v>33978.020000000004</v>
      </c>
      <c r="E1112" s="22">
        <f aca="true" t="shared" si="132" ref="E1112:O1112">SUM(E1109:E1111)</f>
        <v>33880.04</v>
      </c>
      <c r="F1112" s="22">
        <f t="shared" si="132"/>
        <v>33880.05</v>
      </c>
      <c r="G1112" s="22">
        <f t="shared" si="132"/>
        <v>33880.05</v>
      </c>
      <c r="H1112" s="22">
        <f t="shared" si="132"/>
        <v>33880.05</v>
      </c>
      <c r="I1112" s="22">
        <f t="shared" si="132"/>
        <v>33880.04</v>
      </c>
      <c r="J1112" s="22">
        <f t="shared" si="132"/>
        <v>33880.04</v>
      </c>
      <c r="K1112" s="22">
        <f t="shared" si="132"/>
        <v>33880.04</v>
      </c>
      <c r="L1112" s="22">
        <f t="shared" si="132"/>
        <v>33880.05</v>
      </c>
      <c r="M1112" s="22">
        <f t="shared" si="132"/>
        <v>33880.05</v>
      </c>
      <c r="N1112" s="22">
        <f t="shared" si="132"/>
        <v>33880.05</v>
      </c>
      <c r="O1112" s="30">
        <f t="shared" si="132"/>
        <v>33880.04</v>
      </c>
      <c r="P1112" s="22">
        <f>SUM(P1109:P1111)</f>
        <v>406658.5199999999</v>
      </c>
    </row>
    <row r="1113" ht="13.5" customHeight="1">
      <c r="C1113" s="10"/>
    </row>
    <row r="1114" spans="1:3" ht="13.5" customHeight="1">
      <c r="A1114" s="1">
        <f>A1096+1</f>
        <v>75</v>
      </c>
      <c r="B1114" s="40"/>
      <c r="C1114" s="5" t="s">
        <v>319</v>
      </c>
    </row>
    <row r="1115" spans="3:16" ht="13.5" customHeight="1">
      <c r="C1115" s="4" t="s">
        <v>3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9">
        <v>0</v>
      </c>
      <c r="P1115" s="21">
        <f>SUM(D1115:O1115)</f>
        <v>0</v>
      </c>
    </row>
    <row r="1116" spans="3:16" ht="13.5" customHeight="1">
      <c r="C1116" s="4" t="s">
        <v>4</v>
      </c>
      <c r="D1116" s="48">
        <v>250</v>
      </c>
      <c r="P1116" s="21">
        <f>SUM(D1116:O1116)</f>
        <v>250</v>
      </c>
    </row>
    <row r="1117" spans="3:16" ht="13.5" customHeight="1" thickBot="1">
      <c r="C1117" s="4" t="s">
        <v>5</v>
      </c>
      <c r="D1117" s="21">
        <v>17523.8</v>
      </c>
      <c r="E1117" s="21">
        <v>17523.8</v>
      </c>
      <c r="F1117" s="21">
        <v>17523.8</v>
      </c>
      <c r="G1117" s="21">
        <v>17523.8</v>
      </c>
      <c r="H1117" s="21">
        <v>17523.79</v>
      </c>
      <c r="I1117" s="21">
        <v>17523.8</v>
      </c>
      <c r="J1117" s="21">
        <v>17523.8</v>
      </c>
      <c r="K1117" s="21">
        <v>17523.8</v>
      </c>
      <c r="L1117" s="21">
        <v>17523.8</v>
      </c>
      <c r="M1117" s="21">
        <v>17523.79</v>
      </c>
      <c r="N1117" s="21">
        <v>17523.8</v>
      </c>
      <c r="O1117" s="29">
        <v>17523.8</v>
      </c>
      <c r="P1117" s="21">
        <f>SUM(D1117:O1117)</f>
        <v>210285.57999999996</v>
      </c>
    </row>
    <row r="1118" spans="3:16" ht="13.5" customHeight="1" thickBot="1">
      <c r="C1118" s="6" t="s">
        <v>223</v>
      </c>
      <c r="D1118" s="22">
        <f>SUM(D1115:D1117)</f>
        <v>17773.8</v>
      </c>
      <c r="E1118" s="22">
        <f aca="true" t="shared" si="133" ref="E1118:O1118">SUM(E1115:E1117)</f>
        <v>17523.8</v>
      </c>
      <c r="F1118" s="22">
        <f t="shared" si="133"/>
        <v>17523.8</v>
      </c>
      <c r="G1118" s="22">
        <f t="shared" si="133"/>
        <v>17523.8</v>
      </c>
      <c r="H1118" s="22">
        <f t="shared" si="133"/>
        <v>17523.79</v>
      </c>
      <c r="I1118" s="22">
        <f t="shared" si="133"/>
        <v>17523.8</v>
      </c>
      <c r="J1118" s="22">
        <f t="shared" si="133"/>
        <v>17523.8</v>
      </c>
      <c r="K1118" s="22">
        <f t="shared" si="133"/>
        <v>17523.8</v>
      </c>
      <c r="L1118" s="22">
        <f t="shared" si="133"/>
        <v>17523.8</v>
      </c>
      <c r="M1118" s="22">
        <f t="shared" si="133"/>
        <v>17523.79</v>
      </c>
      <c r="N1118" s="22">
        <f t="shared" si="133"/>
        <v>17523.8</v>
      </c>
      <c r="O1118" s="30">
        <f t="shared" si="133"/>
        <v>17523.8</v>
      </c>
      <c r="P1118" s="22">
        <f>SUM(P1115:P1117)</f>
        <v>210535.57999999996</v>
      </c>
    </row>
    <row r="1119" ht="13.5" customHeight="1">
      <c r="C1119" s="10"/>
    </row>
    <row r="1120" spans="1:3" ht="13.5" customHeight="1">
      <c r="A1120" s="1">
        <f>A1114+1</f>
        <v>76</v>
      </c>
      <c r="B1120" s="40"/>
      <c r="C1120" s="5" t="s">
        <v>320</v>
      </c>
    </row>
    <row r="1121" spans="3:16" ht="13.5" customHeight="1">
      <c r="C1121" s="4" t="s">
        <v>3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9">
        <v>0</v>
      </c>
      <c r="P1121" s="21">
        <f>SUM(D1121:O1121)</f>
        <v>0</v>
      </c>
    </row>
    <row r="1122" spans="3:16" ht="13.5" customHeight="1">
      <c r="C1122" s="4" t="s">
        <v>4</v>
      </c>
      <c r="D1122" s="48">
        <v>250</v>
      </c>
      <c r="P1122" s="21">
        <f>SUM(D1122:O1122)</f>
        <v>250</v>
      </c>
    </row>
    <row r="1123" spans="3:16" ht="13.5" customHeight="1" thickBot="1">
      <c r="C1123" s="4" t="s">
        <v>5</v>
      </c>
      <c r="D1123" s="21">
        <v>12850.78</v>
      </c>
      <c r="E1123" s="21">
        <v>12850.79</v>
      </c>
      <c r="F1123" s="21">
        <v>12850.79</v>
      </c>
      <c r="G1123" s="21">
        <v>12850.78</v>
      </c>
      <c r="H1123" s="21">
        <v>12850.78</v>
      </c>
      <c r="I1123" s="21">
        <v>12850.79</v>
      </c>
      <c r="J1123" s="21">
        <v>12850.78</v>
      </c>
      <c r="K1123" s="21">
        <v>12850.79</v>
      </c>
      <c r="L1123" s="21">
        <v>12850.78</v>
      </c>
      <c r="M1123" s="21">
        <v>12850.79</v>
      </c>
      <c r="N1123" s="21">
        <v>12850.79</v>
      </c>
      <c r="O1123" s="29">
        <v>12850.78</v>
      </c>
      <c r="P1123" s="21">
        <f>SUM(D1123:O1123)</f>
        <v>154209.42</v>
      </c>
    </row>
    <row r="1124" spans="3:16" ht="13.5" customHeight="1" thickBot="1">
      <c r="C1124" s="6" t="s">
        <v>255</v>
      </c>
      <c r="D1124" s="22">
        <f>SUM(D1121:D1123)</f>
        <v>13100.78</v>
      </c>
      <c r="E1124" s="22">
        <f aca="true" t="shared" si="134" ref="E1124:O1124">SUM(E1121:E1123)</f>
        <v>12850.79</v>
      </c>
      <c r="F1124" s="22">
        <f t="shared" si="134"/>
        <v>12850.79</v>
      </c>
      <c r="G1124" s="22">
        <f t="shared" si="134"/>
        <v>12850.78</v>
      </c>
      <c r="H1124" s="22">
        <f t="shared" si="134"/>
        <v>12850.78</v>
      </c>
      <c r="I1124" s="22">
        <f t="shared" si="134"/>
        <v>12850.79</v>
      </c>
      <c r="J1124" s="22">
        <f t="shared" si="134"/>
        <v>12850.78</v>
      </c>
      <c r="K1124" s="22">
        <f t="shared" si="134"/>
        <v>12850.79</v>
      </c>
      <c r="L1124" s="22">
        <f t="shared" si="134"/>
        <v>12850.78</v>
      </c>
      <c r="M1124" s="22">
        <f t="shared" si="134"/>
        <v>12850.79</v>
      </c>
      <c r="N1124" s="22">
        <f t="shared" si="134"/>
        <v>12850.79</v>
      </c>
      <c r="O1124" s="30">
        <f t="shared" si="134"/>
        <v>12850.78</v>
      </c>
      <c r="P1124" s="22">
        <f>SUM(P1121:P1123)</f>
        <v>154459.42</v>
      </c>
    </row>
    <row r="1125" ht="13.5" customHeight="1">
      <c r="C1125" s="10"/>
    </row>
    <row r="1126" spans="1:3" ht="13.5" customHeight="1">
      <c r="A1126" s="1">
        <f>A1120+1</f>
        <v>77</v>
      </c>
      <c r="B1126" s="40"/>
      <c r="C1126" s="5" t="s">
        <v>321</v>
      </c>
    </row>
    <row r="1127" spans="3:16" ht="13.5" customHeight="1">
      <c r="C1127" s="4" t="s">
        <v>3</v>
      </c>
      <c r="D1127" s="21">
        <v>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9">
        <v>0</v>
      </c>
      <c r="P1127" s="21">
        <f>SUM(D1127:O1127)</f>
        <v>0</v>
      </c>
    </row>
    <row r="1128" spans="3:16" ht="13.5" customHeight="1">
      <c r="C1128" s="4" t="s">
        <v>4</v>
      </c>
      <c r="D1128" s="48">
        <v>250</v>
      </c>
      <c r="P1128" s="21">
        <f>SUM(D1128:O1128)</f>
        <v>250</v>
      </c>
    </row>
    <row r="1129" spans="3:16" ht="13.5" customHeight="1" thickBot="1">
      <c r="C1129" s="4" t="s">
        <v>5</v>
      </c>
      <c r="D1129" s="21">
        <v>63437.5</v>
      </c>
      <c r="E1129" s="21">
        <v>63437.5</v>
      </c>
      <c r="F1129" s="21">
        <v>63437.5</v>
      </c>
      <c r="G1129" s="21">
        <v>63437.5</v>
      </c>
      <c r="H1129" s="21">
        <v>63437.5</v>
      </c>
      <c r="I1129" s="21">
        <v>63437.5</v>
      </c>
      <c r="J1129" s="21">
        <v>63437.5</v>
      </c>
      <c r="K1129" s="21">
        <v>86093.75</v>
      </c>
      <c r="L1129" s="21">
        <v>86093.75</v>
      </c>
      <c r="M1129" s="21">
        <v>86093.75</v>
      </c>
      <c r="N1129" s="21">
        <v>86093.75</v>
      </c>
      <c r="O1129" s="29">
        <v>86093.75</v>
      </c>
      <c r="P1129" s="21">
        <f>SUM(D1129:O1129)</f>
        <v>874531.25</v>
      </c>
    </row>
    <row r="1130" spans="3:16" ht="13.5" customHeight="1" thickBot="1">
      <c r="C1130" s="6" t="s">
        <v>322</v>
      </c>
      <c r="D1130" s="22">
        <f>SUM(D1127:D1129)</f>
        <v>63687.5</v>
      </c>
      <c r="E1130" s="22">
        <f aca="true" t="shared" si="135" ref="E1130:O1130">SUM(E1127:E1129)</f>
        <v>63437.5</v>
      </c>
      <c r="F1130" s="22">
        <f t="shared" si="135"/>
        <v>63437.5</v>
      </c>
      <c r="G1130" s="22">
        <f t="shared" si="135"/>
        <v>63437.5</v>
      </c>
      <c r="H1130" s="22">
        <f t="shared" si="135"/>
        <v>63437.5</v>
      </c>
      <c r="I1130" s="22">
        <f t="shared" si="135"/>
        <v>63437.5</v>
      </c>
      <c r="J1130" s="22">
        <f t="shared" si="135"/>
        <v>63437.5</v>
      </c>
      <c r="K1130" s="22">
        <f t="shared" si="135"/>
        <v>86093.75</v>
      </c>
      <c r="L1130" s="22">
        <f t="shared" si="135"/>
        <v>86093.75</v>
      </c>
      <c r="M1130" s="22">
        <f t="shared" si="135"/>
        <v>86093.75</v>
      </c>
      <c r="N1130" s="22">
        <f t="shared" si="135"/>
        <v>86093.75</v>
      </c>
      <c r="O1130" s="30">
        <f t="shared" si="135"/>
        <v>86093.75</v>
      </c>
      <c r="P1130" s="22">
        <f>SUM(P1127:P1129)</f>
        <v>874781.25</v>
      </c>
    </row>
    <row r="1131" ht="13.5" customHeight="1">
      <c r="C1131" s="10"/>
    </row>
    <row r="1132" spans="1:3" ht="13.5" customHeight="1">
      <c r="A1132" s="1">
        <f>A1126+1</f>
        <v>78</v>
      </c>
      <c r="B1132" s="40"/>
      <c r="C1132" s="5" t="s">
        <v>323</v>
      </c>
    </row>
    <row r="1133" spans="3:16" ht="13.5" customHeight="1">
      <c r="C1133" s="4" t="s">
        <v>3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9">
        <v>0</v>
      </c>
      <c r="P1133" s="21">
        <f>SUM(D1133:O1133)</f>
        <v>0</v>
      </c>
    </row>
    <row r="1134" spans="3:16" ht="13.5" customHeight="1">
      <c r="C1134" s="4" t="s">
        <v>4</v>
      </c>
      <c r="D1134" s="48">
        <v>250</v>
      </c>
      <c r="P1134" s="21">
        <f>SUM(D1134:O1134)</f>
        <v>250</v>
      </c>
    </row>
    <row r="1135" spans="3:16" ht="13.5" customHeight="1" thickBot="1">
      <c r="C1135" s="4" t="s">
        <v>5</v>
      </c>
      <c r="D1135" s="21">
        <v>105300.79</v>
      </c>
      <c r="E1135" s="21">
        <v>105300.79</v>
      </c>
      <c r="F1135" s="21">
        <v>105300.79</v>
      </c>
      <c r="G1135" s="21">
        <v>105300.79</v>
      </c>
      <c r="H1135" s="21">
        <v>105300.79</v>
      </c>
      <c r="I1135" s="21">
        <v>105300.79</v>
      </c>
      <c r="J1135" s="21">
        <v>138044.79</v>
      </c>
      <c r="K1135" s="21">
        <v>138044.79</v>
      </c>
      <c r="L1135" s="21">
        <v>138044.79</v>
      </c>
      <c r="M1135" s="21">
        <v>138044.79</v>
      </c>
      <c r="N1135" s="21">
        <v>138044.79</v>
      </c>
      <c r="O1135" s="29">
        <v>138044.79</v>
      </c>
      <c r="P1135" s="21">
        <f>SUM(D1135:O1135)</f>
        <v>1460073.4800000002</v>
      </c>
    </row>
    <row r="1136" spans="3:16" ht="13.5" customHeight="1" thickBot="1">
      <c r="C1136" s="6" t="s">
        <v>324</v>
      </c>
      <c r="D1136" s="22">
        <f>SUM(D1133:D1135)</f>
        <v>105550.79</v>
      </c>
      <c r="E1136" s="22">
        <f aca="true" t="shared" si="136" ref="E1136:O1136">SUM(E1133:E1135)</f>
        <v>105300.79</v>
      </c>
      <c r="F1136" s="22">
        <f t="shared" si="136"/>
        <v>105300.79</v>
      </c>
      <c r="G1136" s="22">
        <f t="shared" si="136"/>
        <v>105300.79</v>
      </c>
      <c r="H1136" s="22">
        <f t="shared" si="136"/>
        <v>105300.79</v>
      </c>
      <c r="I1136" s="22">
        <f t="shared" si="136"/>
        <v>105300.79</v>
      </c>
      <c r="J1136" s="22">
        <f t="shared" si="136"/>
        <v>138044.79</v>
      </c>
      <c r="K1136" s="22">
        <f t="shared" si="136"/>
        <v>138044.79</v>
      </c>
      <c r="L1136" s="22">
        <f t="shared" si="136"/>
        <v>138044.79</v>
      </c>
      <c r="M1136" s="22">
        <f t="shared" si="136"/>
        <v>138044.79</v>
      </c>
      <c r="N1136" s="22">
        <f t="shared" si="136"/>
        <v>138044.79</v>
      </c>
      <c r="O1136" s="30">
        <f t="shared" si="136"/>
        <v>138044.79</v>
      </c>
      <c r="P1136" s="22">
        <f>SUM(P1133:P1135)</f>
        <v>1460323.4800000002</v>
      </c>
    </row>
    <row r="1137" ht="13.5" customHeight="1">
      <c r="C1137" s="10"/>
    </row>
    <row r="1138" spans="1:3" ht="13.5" customHeight="1">
      <c r="A1138" s="1">
        <f>A1132+1</f>
        <v>79</v>
      </c>
      <c r="B1138" s="40"/>
      <c r="C1138" s="5" t="s">
        <v>333</v>
      </c>
    </row>
    <row r="1139" spans="3:16" ht="13.5" customHeight="1">
      <c r="C1139" s="4" t="s">
        <v>3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9">
        <v>0</v>
      </c>
      <c r="P1139" s="21">
        <f>SUM(D1139:O1139)</f>
        <v>0</v>
      </c>
    </row>
    <row r="1140" spans="3:16" ht="13.5" customHeight="1">
      <c r="C1140" s="4" t="s">
        <v>4</v>
      </c>
      <c r="D1140" s="48">
        <v>250</v>
      </c>
      <c r="P1140" s="21">
        <f>SUM(D1140:O1140)</f>
        <v>250</v>
      </c>
    </row>
    <row r="1141" spans="3:16" ht="13.5" customHeight="1" thickBot="1">
      <c r="C1141" s="4" t="s">
        <v>5</v>
      </c>
      <c r="D1141" s="48">
        <f>69801.56+7083.33+21120</f>
        <v>98004.89</v>
      </c>
      <c r="E1141" s="48">
        <f>69801.56+7083.33+21120</f>
        <v>98004.89</v>
      </c>
      <c r="F1141" s="48">
        <f>69801.56+7083.33+21120</f>
        <v>98004.89</v>
      </c>
      <c r="G1141" s="48">
        <f>69801.56+7083.33+21120</f>
        <v>98004.89</v>
      </c>
      <c r="H1141" s="48">
        <v>69801.56</v>
      </c>
      <c r="I1141" s="48">
        <v>69801.57</v>
      </c>
      <c r="J1141" s="48">
        <v>69104.3</v>
      </c>
      <c r="K1141" s="48">
        <v>69104.3</v>
      </c>
      <c r="L1141" s="48">
        <v>69104.3</v>
      </c>
      <c r="M1141" s="48">
        <v>69104.3</v>
      </c>
      <c r="N1141" s="48">
        <v>69104.3</v>
      </c>
      <c r="O1141" s="50">
        <v>69104.31</v>
      </c>
      <c r="P1141" s="21">
        <f>SUM(D1141:O1141)</f>
        <v>946248.5000000002</v>
      </c>
    </row>
    <row r="1142" spans="3:16" ht="13.5" customHeight="1" thickBot="1">
      <c r="C1142" s="6" t="s">
        <v>302</v>
      </c>
      <c r="D1142" s="22">
        <f>SUM(D1139:D1141)</f>
        <v>98254.89</v>
      </c>
      <c r="E1142" s="22">
        <f aca="true" t="shared" si="137" ref="E1142:O1142">SUM(E1139:E1141)</f>
        <v>98004.89</v>
      </c>
      <c r="F1142" s="22">
        <f t="shared" si="137"/>
        <v>98004.89</v>
      </c>
      <c r="G1142" s="22">
        <f t="shared" si="137"/>
        <v>98004.89</v>
      </c>
      <c r="H1142" s="22">
        <f t="shared" si="137"/>
        <v>69801.56</v>
      </c>
      <c r="I1142" s="22">
        <f t="shared" si="137"/>
        <v>69801.57</v>
      </c>
      <c r="J1142" s="22">
        <f t="shared" si="137"/>
        <v>69104.3</v>
      </c>
      <c r="K1142" s="22">
        <f t="shared" si="137"/>
        <v>69104.3</v>
      </c>
      <c r="L1142" s="22">
        <f t="shared" si="137"/>
        <v>69104.3</v>
      </c>
      <c r="M1142" s="22">
        <f t="shared" si="137"/>
        <v>69104.3</v>
      </c>
      <c r="N1142" s="22">
        <f t="shared" si="137"/>
        <v>69104.3</v>
      </c>
      <c r="O1142" s="30">
        <f t="shared" si="137"/>
        <v>69104.31</v>
      </c>
      <c r="P1142" s="22">
        <f>SUM(P1139:P1141)</f>
        <v>946498.5000000002</v>
      </c>
    </row>
    <row r="1143" ht="13.5" customHeight="1">
      <c r="C1143" s="10"/>
    </row>
    <row r="1144" spans="1:3" ht="13.5" customHeight="1">
      <c r="A1144" s="14">
        <f>+A1138+1</f>
        <v>80</v>
      </c>
      <c r="C1144" s="5" t="s">
        <v>326</v>
      </c>
    </row>
    <row r="1145" spans="3:16" ht="13.5" customHeight="1">
      <c r="C1145" s="4" t="s">
        <v>3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9">
        <v>0</v>
      </c>
      <c r="P1145" s="21">
        <f>SUM(D1145:O1145)</f>
        <v>0</v>
      </c>
    </row>
    <row r="1146" spans="3:16" ht="13.5" customHeight="1">
      <c r="C1146" s="4" t="s">
        <v>4</v>
      </c>
      <c r="D1146" s="48">
        <v>250</v>
      </c>
      <c r="P1146" s="21">
        <f>SUM(D1146:O1146)</f>
        <v>250</v>
      </c>
    </row>
    <row r="1147" spans="3:16" ht="13.5" customHeight="1" thickBot="1">
      <c r="C1147" s="4" t="s">
        <v>5</v>
      </c>
      <c r="D1147" s="21">
        <v>39137.23</v>
      </c>
      <c r="E1147" s="21">
        <v>39137.23</v>
      </c>
      <c r="F1147" s="21">
        <v>39137.23</v>
      </c>
      <c r="G1147" s="21">
        <v>39137.23</v>
      </c>
      <c r="H1147" s="21">
        <v>39137.23</v>
      </c>
      <c r="I1147" s="21">
        <v>39137.23</v>
      </c>
      <c r="J1147" s="21">
        <v>39137.23</v>
      </c>
      <c r="K1147" s="21">
        <v>39137.23</v>
      </c>
      <c r="L1147" s="21">
        <v>39137.23</v>
      </c>
      <c r="M1147" s="21">
        <v>39137.23</v>
      </c>
      <c r="N1147" s="21">
        <v>39137.23</v>
      </c>
      <c r="O1147" s="29">
        <v>39137.23</v>
      </c>
      <c r="P1147" s="21">
        <f>SUM(D1147:O1147)</f>
        <v>469646.75999999995</v>
      </c>
    </row>
    <row r="1148" spans="3:16" ht="13.5" customHeight="1" thickBot="1">
      <c r="C1148" s="6" t="s">
        <v>155</v>
      </c>
      <c r="D1148" s="22">
        <f>SUM(D1145:D1147)</f>
        <v>39387.23</v>
      </c>
      <c r="E1148" s="22">
        <f aca="true" t="shared" si="138" ref="E1148:O1148">SUM(E1145:E1147)</f>
        <v>39137.23</v>
      </c>
      <c r="F1148" s="22">
        <f t="shared" si="138"/>
        <v>39137.23</v>
      </c>
      <c r="G1148" s="22">
        <f t="shared" si="138"/>
        <v>39137.23</v>
      </c>
      <c r="H1148" s="22">
        <f t="shared" si="138"/>
        <v>39137.23</v>
      </c>
      <c r="I1148" s="22">
        <f t="shared" si="138"/>
        <v>39137.23</v>
      </c>
      <c r="J1148" s="22">
        <f t="shared" si="138"/>
        <v>39137.23</v>
      </c>
      <c r="K1148" s="22">
        <f t="shared" si="138"/>
        <v>39137.23</v>
      </c>
      <c r="L1148" s="22">
        <f t="shared" si="138"/>
        <v>39137.23</v>
      </c>
      <c r="M1148" s="22">
        <f t="shared" si="138"/>
        <v>39137.23</v>
      </c>
      <c r="N1148" s="22">
        <f t="shared" si="138"/>
        <v>39137.23</v>
      </c>
      <c r="O1148" s="30">
        <f t="shared" si="138"/>
        <v>39137.23</v>
      </c>
      <c r="P1148" s="22">
        <f>SUM(P1145:P1147)</f>
        <v>469896.75999999995</v>
      </c>
    </row>
    <row r="1149" ht="13.5" customHeight="1">
      <c r="C1149" s="10"/>
    </row>
    <row r="1150" spans="1:3" ht="13.5" customHeight="1">
      <c r="A1150" s="14">
        <f>+A1144+1</f>
        <v>81</v>
      </c>
      <c r="C1150" s="5" t="s">
        <v>327</v>
      </c>
    </row>
    <row r="1151" spans="3:16" ht="13.5" customHeight="1">
      <c r="C1151" s="4" t="s">
        <v>3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9">
        <v>0</v>
      </c>
      <c r="P1151" s="21">
        <f>SUM(D1151:O1151)</f>
        <v>0</v>
      </c>
    </row>
    <row r="1152" spans="3:16" ht="13.5" customHeight="1">
      <c r="C1152" s="4" t="s">
        <v>4</v>
      </c>
      <c r="D1152" s="48">
        <v>250</v>
      </c>
      <c r="P1152" s="21">
        <f>SUM(D1152:O1152)</f>
        <v>250</v>
      </c>
    </row>
    <row r="1153" spans="3:16" ht="13.5" customHeight="1" thickBot="1">
      <c r="C1153" s="4" t="s">
        <v>5</v>
      </c>
      <c r="D1153" s="21">
        <v>202958.34</v>
      </c>
      <c r="E1153" s="21">
        <v>202958.34</v>
      </c>
      <c r="F1153" s="21">
        <v>202958.34</v>
      </c>
      <c r="G1153" s="21">
        <v>197854.17</v>
      </c>
      <c r="H1153" s="21">
        <v>197854.17</v>
      </c>
      <c r="I1153" s="21">
        <v>197854.17</v>
      </c>
      <c r="J1153" s="21">
        <v>197854.17</v>
      </c>
      <c r="K1153" s="21">
        <v>197854.17</v>
      </c>
      <c r="L1153" s="21">
        <v>197854.17</v>
      </c>
      <c r="M1153" s="21">
        <v>197854.17</v>
      </c>
      <c r="N1153" s="21">
        <v>197854.17</v>
      </c>
      <c r="O1153" s="29">
        <v>197854.17</v>
      </c>
      <c r="P1153" s="21">
        <f>SUM(D1153:O1153)</f>
        <v>2389562.55</v>
      </c>
    </row>
    <row r="1154" spans="3:16" ht="13.5" customHeight="1" thickBot="1">
      <c r="C1154" s="6" t="s">
        <v>184</v>
      </c>
      <c r="D1154" s="22">
        <f>SUM(D1151:D1153)</f>
        <v>203208.34</v>
      </c>
      <c r="E1154" s="22">
        <f aca="true" t="shared" si="139" ref="E1154:O1154">SUM(E1151:E1153)</f>
        <v>202958.34</v>
      </c>
      <c r="F1154" s="22">
        <f t="shared" si="139"/>
        <v>202958.34</v>
      </c>
      <c r="G1154" s="22">
        <f t="shared" si="139"/>
        <v>197854.17</v>
      </c>
      <c r="H1154" s="22">
        <f t="shared" si="139"/>
        <v>197854.17</v>
      </c>
      <c r="I1154" s="22">
        <f t="shared" si="139"/>
        <v>197854.17</v>
      </c>
      <c r="J1154" s="22">
        <f t="shared" si="139"/>
        <v>197854.17</v>
      </c>
      <c r="K1154" s="22">
        <f t="shared" si="139"/>
        <v>197854.17</v>
      </c>
      <c r="L1154" s="22">
        <f t="shared" si="139"/>
        <v>197854.17</v>
      </c>
      <c r="M1154" s="22">
        <f t="shared" si="139"/>
        <v>197854.17</v>
      </c>
      <c r="N1154" s="22">
        <f t="shared" si="139"/>
        <v>197854.17</v>
      </c>
      <c r="O1154" s="30">
        <f t="shared" si="139"/>
        <v>197854.17</v>
      </c>
      <c r="P1154" s="22">
        <f>SUM(P1151:P1153)</f>
        <v>2389812.55</v>
      </c>
    </row>
    <row r="1155" ht="13.5" customHeight="1">
      <c r="C1155" s="10"/>
    </row>
    <row r="1156" spans="1:3" ht="13.5" customHeight="1">
      <c r="A1156" s="14">
        <f>+A1150+1</f>
        <v>82</v>
      </c>
      <c r="C1156" s="5" t="s">
        <v>328</v>
      </c>
    </row>
    <row r="1157" spans="3:16" ht="13.5" customHeight="1">
      <c r="C1157" s="4" t="s">
        <v>3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9">
        <v>0</v>
      </c>
      <c r="P1157" s="21">
        <f>SUM(D1157:O1157)</f>
        <v>0</v>
      </c>
    </row>
    <row r="1158" spans="3:16" ht="13.5" customHeight="1">
      <c r="C1158" s="4" t="s">
        <v>4</v>
      </c>
      <c r="D1158" s="48">
        <v>250</v>
      </c>
      <c r="P1158" s="21">
        <f>SUM(D1158:O1158)</f>
        <v>250</v>
      </c>
    </row>
    <row r="1159" spans="3:16" ht="13.5" customHeight="1" thickBot="1">
      <c r="C1159" s="4" t="s">
        <v>5</v>
      </c>
      <c r="D1159" s="21">
        <v>13264.72</v>
      </c>
      <c r="E1159" s="21">
        <v>13264.72</v>
      </c>
      <c r="F1159" s="21">
        <v>13264.72</v>
      </c>
      <c r="G1159" s="21">
        <v>13264.72</v>
      </c>
      <c r="H1159" s="21">
        <v>13264.72</v>
      </c>
      <c r="I1159" s="21">
        <v>13264.7</v>
      </c>
      <c r="J1159" s="21">
        <v>50801.04</v>
      </c>
      <c r="K1159" s="21">
        <v>50801.04</v>
      </c>
      <c r="L1159" s="21">
        <v>50801.04</v>
      </c>
      <c r="M1159" s="21">
        <v>50801.04</v>
      </c>
      <c r="N1159" s="21">
        <v>50801.04</v>
      </c>
      <c r="O1159" s="29">
        <v>50801.05</v>
      </c>
      <c r="P1159" s="21">
        <f>SUM(D1159:O1159)</f>
        <v>384394.55</v>
      </c>
    </row>
    <row r="1160" spans="3:16" ht="13.5" customHeight="1" thickBot="1">
      <c r="C1160" s="6" t="s">
        <v>329</v>
      </c>
      <c r="D1160" s="22">
        <f>SUM(D1157:D1159)</f>
        <v>13514.72</v>
      </c>
      <c r="E1160" s="22">
        <f aca="true" t="shared" si="140" ref="E1160:O1160">SUM(E1157:E1159)</f>
        <v>13264.72</v>
      </c>
      <c r="F1160" s="22">
        <f t="shared" si="140"/>
        <v>13264.72</v>
      </c>
      <c r="G1160" s="22">
        <f t="shared" si="140"/>
        <v>13264.72</v>
      </c>
      <c r="H1160" s="22">
        <f t="shared" si="140"/>
        <v>13264.72</v>
      </c>
      <c r="I1160" s="22">
        <f t="shared" si="140"/>
        <v>13264.7</v>
      </c>
      <c r="J1160" s="22">
        <f t="shared" si="140"/>
        <v>50801.04</v>
      </c>
      <c r="K1160" s="22">
        <f t="shared" si="140"/>
        <v>50801.04</v>
      </c>
      <c r="L1160" s="22">
        <f t="shared" si="140"/>
        <v>50801.04</v>
      </c>
      <c r="M1160" s="22">
        <f t="shared" si="140"/>
        <v>50801.04</v>
      </c>
      <c r="N1160" s="22">
        <f t="shared" si="140"/>
        <v>50801.04</v>
      </c>
      <c r="O1160" s="30">
        <f t="shared" si="140"/>
        <v>50801.05</v>
      </c>
      <c r="P1160" s="22">
        <f>SUM(P1157:P1159)</f>
        <v>384644.55</v>
      </c>
    </row>
    <row r="1161" ht="13.5" customHeight="1">
      <c r="C1161" s="10"/>
    </row>
    <row r="1162" spans="1:3" ht="13.5" customHeight="1">
      <c r="A1162" s="14">
        <f>+A1156+1</f>
        <v>83</v>
      </c>
      <c r="C1162" s="5" t="s">
        <v>330</v>
      </c>
    </row>
    <row r="1163" spans="3:16" ht="13.5" customHeight="1">
      <c r="C1163" s="4" t="s">
        <v>3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9">
        <v>0</v>
      </c>
      <c r="P1163" s="21">
        <f>SUM(D1163:O1163)</f>
        <v>0</v>
      </c>
    </row>
    <row r="1164" spans="3:16" ht="13.5" customHeight="1">
      <c r="C1164" s="4" t="s">
        <v>4</v>
      </c>
      <c r="D1164" s="48">
        <v>250</v>
      </c>
      <c r="P1164" s="21">
        <f>SUM(D1164:O1164)</f>
        <v>250</v>
      </c>
    </row>
    <row r="1165" spans="3:16" ht="13.5" customHeight="1" thickBot="1">
      <c r="C1165" s="4" t="s">
        <v>5</v>
      </c>
      <c r="D1165" s="21">
        <f>44287.5+6500</f>
        <v>50787.5</v>
      </c>
      <c r="E1165" s="21">
        <f>44287.5+6500</f>
        <v>50787.5</v>
      </c>
      <c r="F1165" s="21">
        <f>44287.5+6500</f>
        <v>50787.5</v>
      </c>
      <c r="G1165" s="21">
        <f>44287.5+6500</f>
        <v>50787.5</v>
      </c>
      <c r="H1165" s="21">
        <f>44070.83+6250</f>
        <v>50320.83</v>
      </c>
      <c r="I1165" s="21">
        <f aca="true" t="shared" si="141" ref="I1165:O1165">44070.83+6250</f>
        <v>50320.83</v>
      </c>
      <c r="J1165" s="21">
        <f t="shared" si="141"/>
        <v>50320.83</v>
      </c>
      <c r="K1165" s="21">
        <f t="shared" si="141"/>
        <v>50320.83</v>
      </c>
      <c r="L1165" s="21">
        <f t="shared" si="141"/>
        <v>50320.83</v>
      </c>
      <c r="M1165" s="21">
        <f>44070.85+6250</f>
        <v>50320.85</v>
      </c>
      <c r="N1165" s="21">
        <f t="shared" si="141"/>
        <v>50320.83</v>
      </c>
      <c r="O1165" s="29">
        <f t="shared" si="141"/>
        <v>50320.83</v>
      </c>
      <c r="P1165" s="21">
        <f>SUM(D1165:O1165)</f>
        <v>605716.66</v>
      </c>
    </row>
    <row r="1166" spans="3:16" ht="13.5" customHeight="1" thickBot="1">
      <c r="C1166" s="6" t="s">
        <v>158</v>
      </c>
      <c r="D1166" s="22">
        <f>SUM(D1163:D1165)</f>
        <v>51037.5</v>
      </c>
      <c r="E1166" s="22">
        <f aca="true" t="shared" si="142" ref="E1166:O1166">SUM(E1163:E1165)</f>
        <v>50787.5</v>
      </c>
      <c r="F1166" s="22">
        <f t="shared" si="142"/>
        <v>50787.5</v>
      </c>
      <c r="G1166" s="22">
        <f t="shared" si="142"/>
        <v>50787.5</v>
      </c>
      <c r="H1166" s="22">
        <f t="shared" si="142"/>
        <v>50320.83</v>
      </c>
      <c r="I1166" s="22">
        <f t="shared" si="142"/>
        <v>50320.83</v>
      </c>
      <c r="J1166" s="22">
        <f t="shared" si="142"/>
        <v>50320.83</v>
      </c>
      <c r="K1166" s="22">
        <f t="shared" si="142"/>
        <v>50320.83</v>
      </c>
      <c r="L1166" s="22">
        <f t="shared" si="142"/>
        <v>50320.83</v>
      </c>
      <c r="M1166" s="22">
        <f t="shared" si="142"/>
        <v>50320.85</v>
      </c>
      <c r="N1166" s="22">
        <f t="shared" si="142"/>
        <v>50320.83</v>
      </c>
      <c r="O1166" s="30">
        <f t="shared" si="142"/>
        <v>50320.83</v>
      </c>
      <c r="P1166" s="22">
        <f>SUM(P1163:P1165)</f>
        <v>605966.66</v>
      </c>
    </row>
    <row r="1167" ht="13.5" customHeight="1">
      <c r="C1167" s="10"/>
    </row>
    <row r="1168" spans="1:3" ht="13.5" customHeight="1">
      <c r="A1168" s="14">
        <f>+A1162+1</f>
        <v>84</v>
      </c>
      <c r="C1168" s="5" t="s">
        <v>331</v>
      </c>
    </row>
    <row r="1169" spans="3:16" ht="13.5" customHeight="1">
      <c r="C1169" s="4" t="s">
        <v>3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9">
        <v>0</v>
      </c>
      <c r="P1169" s="21">
        <f>SUM(D1169:O1169)</f>
        <v>0</v>
      </c>
    </row>
    <row r="1170" spans="3:16" ht="13.5" customHeight="1">
      <c r="C1170" s="4" t="s">
        <v>4</v>
      </c>
      <c r="D1170" s="48">
        <v>250</v>
      </c>
      <c r="P1170" s="21">
        <f>SUM(D1170:O1170)</f>
        <v>250</v>
      </c>
    </row>
    <row r="1171" spans="3:16" ht="13.5" customHeight="1" thickBot="1">
      <c r="C1171" s="4" t="s">
        <v>5</v>
      </c>
      <c r="D1171" s="21">
        <v>13916.67</v>
      </c>
      <c r="E1171" s="21">
        <v>13916.67</v>
      </c>
      <c r="F1171" s="21">
        <v>15583.33</v>
      </c>
      <c r="G1171" s="21">
        <v>15583.33</v>
      </c>
      <c r="H1171" s="21">
        <v>15583.33</v>
      </c>
      <c r="I1171" s="21">
        <v>28916.67</v>
      </c>
      <c r="J1171" s="21">
        <v>28916.67</v>
      </c>
      <c r="K1171" s="21">
        <v>28916.67</v>
      </c>
      <c r="L1171" s="21">
        <v>28916.67</v>
      </c>
      <c r="M1171" s="21">
        <v>28916.67</v>
      </c>
      <c r="N1171" s="21">
        <v>28916.67</v>
      </c>
      <c r="O1171" s="29">
        <v>28916.67</v>
      </c>
      <c r="P1171" s="21">
        <f>SUM(D1171:O1171)</f>
        <v>277000.0199999999</v>
      </c>
    </row>
    <row r="1172" spans="3:16" ht="13.5" customHeight="1" thickBot="1">
      <c r="C1172" s="6" t="s">
        <v>332</v>
      </c>
      <c r="D1172" s="22">
        <f>SUM(D1169:D1171)</f>
        <v>14166.67</v>
      </c>
      <c r="E1172" s="22">
        <f aca="true" t="shared" si="143" ref="E1172:O1172">SUM(E1169:E1171)</f>
        <v>13916.67</v>
      </c>
      <c r="F1172" s="22">
        <f t="shared" si="143"/>
        <v>15583.33</v>
      </c>
      <c r="G1172" s="22">
        <f t="shared" si="143"/>
        <v>15583.33</v>
      </c>
      <c r="H1172" s="22">
        <f t="shared" si="143"/>
        <v>15583.33</v>
      </c>
      <c r="I1172" s="22">
        <f t="shared" si="143"/>
        <v>28916.67</v>
      </c>
      <c r="J1172" s="22">
        <f t="shared" si="143"/>
        <v>28916.67</v>
      </c>
      <c r="K1172" s="22">
        <f t="shared" si="143"/>
        <v>28916.67</v>
      </c>
      <c r="L1172" s="22">
        <f t="shared" si="143"/>
        <v>28916.67</v>
      </c>
      <c r="M1172" s="22">
        <f t="shared" si="143"/>
        <v>28916.67</v>
      </c>
      <c r="N1172" s="22">
        <f t="shared" si="143"/>
        <v>28916.67</v>
      </c>
      <c r="O1172" s="30">
        <f t="shared" si="143"/>
        <v>28916.67</v>
      </c>
      <c r="P1172" s="22">
        <f>SUM(P1169:P1171)</f>
        <v>277250.0199999999</v>
      </c>
    </row>
    <row r="1173" ht="13.5" customHeight="1">
      <c r="C1173" s="10"/>
    </row>
    <row r="1174" spans="1:3" ht="13.5" customHeight="1">
      <c r="A1174" s="14">
        <f>+A1168+1</f>
        <v>85</v>
      </c>
      <c r="C1174" s="5" t="s">
        <v>334</v>
      </c>
    </row>
    <row r="1175" spans="3:16" ht="13.5" customHeight="1">
      <c r="C1175" s="4" t="s">
        <v>3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9">
        <v>0</v>
      </c>
      <c r="P1175" s="21">
        <f>SUM(D1175:O1175)</f>
        <v>0</v>
      </c>
    </row>
    <row r="1176" spans="3:16" ht="13.5" customHeight="1">
      <c r="C1176" s="4" t="s">
        <v>4</v>
      </c>
      <c r="D1176" s="48">
        <v>250</v>
      </c>
      <c r="P1176" s="21">
        <f>SUM(D1176:O1176)</f>
        <v>250</v>
      </c>
    </row>
    <row r="1177" spans="3:16" ht="13.5" customHeight="1" thickBot="1">
      <c r="C1177" s="4" t="s">
        <v>5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9">
        <v>0</v>
      </c>
      <c r="P1177" s="21">
        <f>SUM(D1177:O1177)</f>
        <v>0</v>
      </c>
    </row>
    <row r="1178" spans="3:16" ht="13.5" customHeight="1" thickBot="1">
      <c r="C1178" s="6" t="s">
        <v>335</v>
      </c>
      <c r="D1178" s="22">
        <f>SUM(D1175:D1177)</f>
        <v>250</v>
      </c>
      <c r="E1178" s="22">
        <f aca="true" t="shared" si="144" ref="E1178:O1178">SUM(E1175:E1177)</f>
        <v>0</v>
      </c>
      <c r="F1178" s="22">
        <f t="shared" si="144"/>
        <v>0</v>
      </c>
      <c r="G1178" s="22">
        <f t="shared" si="144"/>
        <v>0</v>
      </c>
      <c r="H1178" s="22">
        <f t="shared" si="144"/>
        <v>0</v>
      </c>
      <c r="I1178" s="22">
        <f t="shared" si="144"/>
        <v>0</v>
      </c>
      <c r="J1178" s="22">
        <f t="shared" si="144"/>
        <v>0</v>
      </c>
      <c r="K1178" s="22">
        <f t="shared" si="144"/>
        <v>0</v>
      </c>
      <c r="L1178" s="22">
        <f t="shared" si="144"/>
        <v>0</v>
      </c>
      <c r="M1178" s="22">
        <f t="shared" si="144"/>
        <v>0</v>
      </c>
      <c r="N1178" s="22">
        <f t="shared" si="144"/>
        <v>0</v>
      </c>
      <c r="O1178" s="30">
        <f t="shared" si="144"/>
        <v>0</v>
      </c>
      <c r="P1178" s="22">
        <f>SUM(P1175:P1177)</f>
        <v>250</v>
      </c>
    </row>
    <row r="1179" ht="13.5" customHeight="1">
      <c r="C1179" s="10"/>
    </row>
    <row r="1180" spans="1:3" ht="13.5" customHeight="1">
      <c r="A1180" s="14">
        <f>+A1174+1</f>
        <v>86</v>
      </c>
      <c r="C1180" s="5" t="s">
        <v>336</v>
      </c>
    </row>
    <row r="1181" spans="3:16" ht="13.5" customHeight="1">
      <c r="C1181" s="4" t="s">
        <v>3</v>
      </c>
      <c r="D1181" s="21">
        <v>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9">
        <v>0</v>
      </c>
      <c r="P1181" s="21">
        <f>SUM(D1181:O1181)</f>
        <v>0</v>
      </c>
    </row>
    <row r="1182" spans="3:16" ht="13.5" customHeight="1">
      <c r="C1182" s="4" t="s">
        <v>4</v>
      </c>
      <c r="D1182" s="48">
        <v>250</v>
      </c>
      <c r="P1182" s="21">
        <f>SUM(D1182:O1182)</f>
        <v>250</v>
      </c>
    </row>
    <row r="1183" spans="3:16" ht="13.5" customHeight="1" thickBot="1">
      <c r="C1183" s="4" t="s">
        <v>5</v>
      </c>
      <c r="D1183" s="48">
        <f>22932+19406.66</f>
        <v>42338.66</v>
      </c>
      <c r="E1183" s="48">
        <f>22979+19359.26</f>
        <v>42338.259999999995</v>
      </c>
      <c r="F1183" s="48">
        <f>23027+19311.77</f>
        <v>42338.770000000004</v>
      </c>
      <c r="G1183" s="48">
        <f>23075+19264.19</f>
        <v>42339.19</v>
      </c>
      <c r="H1183" s="48">
        <f>23122+19216.5</f>
        <v>42338.5</v>
      </c>
      <c r="I1183" s="48">
        <f>23170+19168.71</f>
        <v>42338.71</v>
      </c>
      <c r="J1183" s="48">
        <f>23218+19120.83</f>
        <v>42338.83</v>
      </c>
      <c r="K1183" s="48">
        <f>23266+19072.84</f>
        <v>42338.84</v>
      </c>
      <c r="L1183" s="48">
        <f>23314+19024.76</f>
        <v>42338.759999999995</v>
      </c>
      <c r="M1183" s="48">
        <f>23362+18976.58</f>
        <v>42338.58</v>
      </c>
      <c r="N1183" s="48">
        <f>23410+18928.3</f>
        <v>42338.3</v>
      </c>
      <c r="O1183" s="50">
        <f>23459+18879.92</f>
        <v>42338.92</v>
      </c>
      <c r="P1183" s="21">
        <f>SUM(D1183:O1183)</f>
        <v>508064.32</v>
      </c>
    </row>
    <row r="1184" spans="3:16" ht="13.5" customHeight="1" thickBot="1">
      <c r="C1184" s="6" t="s">
        <v>262</v>
      </c>
      <c r="D1184" s="22">
        <f>SUM(D1181:D1183)</f>
        <v>42588.66</v>
      </c>
      <c r="E1184" s="22">
        <f aca="true" t="shared" si="145" ref="E1184:O1184">SUM(E1181:E1183)</f>
        <v>42338.259999999995</v>
      </c>
      <c r="F1184" s="22">
        <f t="shared" si="145"/>
        <v>42338.770000000004</v>
      </c>
      <c r="G1184" s="22">
        <f t="shared" si="145"/>
        <v>42339.19</v>
      </c>
      <c r="H1184" s="22">
        <f t="shared" si="145"/>
        <v>42338.5</v>
      </c>
      <c r="I1184" s="22">
        <f t="shared" si="145"/>
        <v>42338.71</v>
      </c>
      <c r="J1184" s="22">
        <f t="shared" si="145"/>
        <v>42338.83</v>
      </c>
      <c r="K1184" s="22">
        <f t="shared" si="145"/>
        <v>42338.84</v>
      </c>
      <c r="L1184" s="22">
        <f t="shared" si="145"/>
        <v>42338.759999999995</v>
      </c>
      <c r="M1184" s="22">
        <f t="shared" si="145"/>
        <v>42338.58</v>
      </c>
      <c r="N1184" s="22">
        <f t="shared" si="145"/>
        <v>42338.3</v>
      </c>
      <c r="O1184" s="30">
        <f t="shared" si="145"/>
        <v>42338.92</v>
      </c>
      <c r="P1184" s="22">
        <f>SUM(P1181:P1183)</f>
        <v>508314.32</v>
      </c>
    </row>
    <row r="1185" ht="13.5" customHeight="1">
      <c r="C1185" s="10"/>
    </row>
    <row r="1186" spans="1:3" ht="13.5" customHeight="1">
      <c r="A1186" s="14">
        <f>+A1180+1</f>
        <v>87</v>
      </c>
      <c r="C1186" s="5" t="s">
        <v>337</v>
      </c>
    </row>
    <row r="1187" spans="3:16" ht="13.5" customHeight="1">
      <c r="C1187" s="4" t="s">
        <v>3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9">
        <v>0</v>
      </c>
      <c r="P1187" s="21">
        <f>SUM(D1187:O1187)</f>
        <v>0</v>
      </c>
    </row>
    <row r="1188" spans="3:16" ht="13.5" customHeight="1">
      <c r="C1188" s="4" t="s">
        <v>4</v>
      </c>
      <c r="D1188" s="48">
        <v>250</v>
      </c>
      <c r="P1188" s="21">
        <f>SUM(D1188:O1188)</f>
        <v>250</v>
      </c>
    </row>
    <row r="1189" spans="3:16" ht="13.5" customHeight="1" thickBot="1">
      <c r="C1189" s="4" t="s">
        <v>5</v>
      </c>
      <c r="D1189" s="48">
        <f>19716+56621.14</f>
        <v>76337.14</v>
      </c>
      <c r="E1189" s="48">
        <f>19794+56543.51</f>
        <v>76337.51000000001</v>
      </c>
      <c r="F1189" s="48">
        <f>19872+56465.57</f>
        <v>76337.57</v>
      </c>
      <c r="G1189" s="48">
        <f>19950+56387.32</f>
        <v>76337.32</v>
      </c>
      <c r="H1189" s="48">
        <f>20029+56308.77</f>
        <v>76337.76999999999</v>
      </c>
      <c r="I1189" s="48">
        <f>20107+56229.91</f>
        <v>76336.91</v>
      </c>
      <c r="J1189" s="48">
        <f>20187+56150.73</f>
        <v>76337.73000000001</v>
      </c>
      <c r="K1189" s="48">
        <f>20266+56071.25</f>
        <v>76337.25</v>
      </c>
      <c r="L1189" s="48">
        <f>20346+55991.45</f>
        <v>76337.45</v>
      </c>
      <c r="M1189" s="48">
        <f>20426+55911.34</f>
        <v>76337.34</v>
      </c>
      <c r="N1189" s="48">
        <f>20506+55830.91</f>
        <v>76336.91</v>
      </c>
      <c r="O1189" s="50">
        <f>20587+55750.17</f>
        <v>76337.17</v>
      </c>
      <c r="P1189" s="21">
        <f>SUM(D1189:O1189)</f>
        <v>916048.0700000001</v>
      </c>
    </row>
    <row r="1190" spans="3:16" ht="13.5" customHeight="1" thickBot="1">
      <c r="C1190" s="6" t="s">
        <v>338</v>
      </c>
      <c r="D1190" s="22">
        <f>SUM(D1187:D1189)</f>
        <v>76587.14</v>
      </c>
      <c r="E1190" s="22">
        <f aca="true" t="shared" si="146" ref="E1190:O1190">SUM(E1187:E1189)</f>
        <v>76337.51000000001</v>
      </c>
      <c r="F1190" s="22">
        <f t="shared" si="146"/>
        <v>76337.57</v>
      </c>
      <c r="G1190" s="22">
        <f t="shared" si="146"/>
        <v>76337.32</v>
      </c>
      <c r="H1190" s="22">
        <f t="shared" si="146"/>
        <v>76337.76999999999</v>
      </c>
      <c r="I1190" s="22">
        <f t="shared" si="146"/>
        <v>76336.91</v>
      </c>
      <c r="J1190" s="22">
        <f t="shared" si="146"/>
        <v>76337.73000000001</v>
      </c>
      <c r="K1190" s="22">
        <f t="shared" si="146"/>
        <v>76337.25</v>
      </c>
      <c r="L1190" s="22">
        <f t="shared" si="146"/>
        <v>76337.45</v>
      </c>
      <c r="M1190" s="22">
        <f t="shared" si="146"/>
        <v>76337.34</v>
      </c>
      <c r="N1190" s="22">
        <f t="shared" si="146"/>
        <v>76336.91</v>
      </c>
      <c r="O1190" s="30">
        <f t="shared" si="146"/>
        <v>76337.17</v>
      </c>
      <c r="P1190" s="22">
        <f>SUM(P1187:P1189)</f>
        <v>916298.0700000001</v>
      </c>
    </row>
    <row r="1191" ht="13.5" customHeight="1">
      <c r="C1191" s="10"/>
    </row>
    <row r="1192" spans="1:3" ht="13.5" customHeight="1">
      <c r="A1192" s="14">
        <f>+A1186+1</f>
        <v>88</v>
      </c>
      <c r="C1192" s="5" t="s">
        <v>339</v>
      </c>
    </row>
    <row r="1193" spans="3:16" ht="14.25" customHeight="1">
      <c r="C1193" s="4" t="s">
        <v>3</v>
      </c>
      <c r="D1193" s="21">
        <v>3161.36</v>
      </c>
      <c r="E1193" s="21">
        <v>3161.36</v>
      </c>
      <c r="F1193" s="21">
        <v>3161.36</v>
      </c>
      <c r="G1193" s="21">
        <v>3161.36</v>
      </c>
      <c r="H1193" s="21">
        <v>3161.36</v>
      </c>
      <c r="I1193" s="21">
        <v>3161.36</v>
      </c>
      <c r="J1193" s="21">
        <v>3161.36</v>
      </c>
      <c r="K1193" s="21">
        <v>3161.36</v>
      </c>
      <c r="L1193" s="21">
        <v>3161.36</v>
      </c>
      <c r="M1193" s="21">
        <v>2897.92</v>
      </c>
      <c r="N1193" s="21">
        <v>2897.92</v>
      </c>
      <c r="O1193" s="29">
        <v>2897.92</v>
      </c>
      <c r="P1193" s="21">
        <f>SUM(D1193:O1193)</f>
        <v>37146</v>
      </c>
    </row>
    <row r="1194" spans="3:16" ht="14.25" customHeight="1">
      <c r="C1194" s="4" t="s">
        <v>4</v>
      </c>
      <c r="D1194" s="48">
        <v>250</v>
      </c>
      <c r="P1194" s="21">
        <f>SUM(D1194:O1194)</f>
        <v>250</v>
      </c>
    </row>
    <row r="1195" spans="3:16" ht="14.25" customHeight="1" thickBot="1">
      <c r="C1195" s="4" t="s">
        <v>5</v>
      </c>
      <c r="D1195" s="21">
        <v>166201.02</v>
      </c>
      <c r="E1195" s="21">
        <v>166201</v>
      </c>
      <c r="F1195" s="21">
        <v>140451.56</v>
      </c>
      <c r="G1195" s="21">
        <v>140451.56</v>
      </c>
      <c r="H1195" s="21">
        <v>140451.56</v>
      </c>
      <c r="I1195" s="21">
        <v>140451.56</v>
      </c>
      <c r="J1195" s="21">
        <v>140451.56</v>
      </c>
      <c r="K1195" s="21">
        <v>140451.58</v>
      </c>
      <c r="L1195" s="21">
        <v>140451.56</v>
      </c>
      <c r="M1195" s="21">
        <v>140451.56</v>
      </c>
      <c r="N1195" s="21">
        <v>140451.56</v>
      </c>
      <c r="O1195" s="29">
        <v>140451.56</v>
      </c>
      <c r="P1195" s="21">
        <f>SUM(D1195:O1195)</f>
        <v>1736917.6400000004</v>
      </c>
    </row>
    <row r="1196" spans="3:16" ht="14.25" customHeight="1" thickBot="1">
      <c r="C1196" s="6" t="s">
        <v>182</v>
      </c>
      <c r="D1196" s="22">
        <f>SUM(D1193:D1195)</f>
        <v>169612.37999999998</v>
      </c>
      <c r="E1196" s="22">
        <f aca="true" t="shared" si="147" ref="E1196:O1196">SUM(E1193:E1195)</f>
        <v>169362.36</v>
      </c>
      <c r="F1196" s="22">
        <f t="shared" si="147"/>
        <v>143612.91999999998</v>
      </c>
      <c r="G1196" s="22">
        <f t="shared" si="147"/>
        <v>143612.91999999998</v>
      </c>
      <c r="H1196" s="22">
        <f t="shared" si="147"/>
        <v>143612.91999999998</v>
      </c>
      <c r="I1196" s="22">
        <f t="shared" si="147"/>
        <v>143612.91999999998</v>
      </c>
      <c r="J1196" s="22">
        <f t="shared" si="147"/>
        <v>143612.91999999998</v>
      </c>
      <c r="K1196" s="22">
        <f t="shared" si="147"/>
        <v>143612.93999999997</v>
      </c>
      <c r="L1196" s="22">
        <f t="shared" si="147"/>
        <v>143612.91999999998</v>
      </c>
      <c r="M1196" s="22">
        <f t="shared" si="147"/>
        <v>143349.48</v>
      </c>
      <c r="N1196" s="22">
        <f t="shared" si="147"/>
        <v>143349.48</v>
      </c>
      <c r="O1196" s="30">
        <f t="shared" si="147"/>
        <v>143349.48</v>
      </c>
      <c r="P1196" s="22">
        <f>SUM(P1193:P1195)</f>
        <v>1774313.6400000004</v>
      </c>
    </row>
    <row r="1197" ht="14.25" customHeight="1">
      <c r="C1197" s="10"/>
    </row>
    <row r="1198" spans="1:3" ht="14.25" customHeight="1">
      <c r="A1198" s="14">
        <f>+A1192+1</f>
        <v>89</v>
      </c>
      <c r="C1198" s="5" t="s">
        <v>340</v>
      </c>
    </row>
    <row r="1199" spans="3:16" ht="14.25" customHeight="1">
      <c r="C1199" s="4" t="s">
        <v>3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9">
        <v>0</v>
      </c>
      <c r="P1199" s="21">
        <f>SUM(D1199:O1199)</f>
        <v>0</v>
      </c>
    </row>
    <row r="1200" spans="3:16" ht="14.25" customHeight="1">
      <c r="C1200" s="4" t="s">
        <v>4</v>
      </c>
      <c r="D1200" s="48">
        <v>250</v>
      </c>
      <c r="P1200" s="21">
        <f>SUM(D1200:O1200)</f>
        <v>250</v>
      </c>
    </row>
    <row r="1201" spans="3:16" ht="14.25" customHeight="1" thickBot="1">
      <c r="C1201" s="4" t="s">
        <v>5</v>
      </c>
      <c r="D1201" s="21">
        <v>18702.38</v>
      </c>
      <c r="E1201" s="21">
        <v>18702.38</v>
      </c>
      <c r="F1201" s="21">
        <v>18702.38</v>
      </c>
      <c r="G1201" s="21">
        <v>18702.38</v>
      </c>
      <c r="H1201" s="21">
        <v>18702.38</v>
      </c>
      <c r="I1201" s="21">
        <v>18702.38</v>
      </c>
      <c r="J1201" s="21">
        <v>18702.38</v>
      </c>
      <c r="K1201" s="21">
        <v>18702.38</v>
      </c>
      <c r="L1201" s="21">
        <v>18702.38</v>
      </c>
      <c r="M1201" s="21">
        <v>18702.38</v>
      </c>
      <c r="N1201" s="21">
        <v>18702.38</v>
      </c>
      <c r="O1201" s="29">
        <v>18702.38</v>
      </c>
      <c r="P1201" s="21">
        <f>SUM(D1201:O1201)</f>
        <v>224428.56000000003</v>
      </c>
    </row>
    <row r="1202" spans="3:16" ht="14.25" customHeight="1" thickBot="1">
      <c r="C1202" s="6" t="s">
        <v>341</v>
      </c>
      <c r="D1202" s="22">
        <f>SUM(D1199:D1201)</f>
        <v>18952.38</v>
      </c>
      <c r="E1202" s="22">
        <f aca="true" t="shared" si="148" ref="E1202:O1202">SUM(E1199:E1201)</f>
        <v>18702.38</v>
      </c>
      <c r="F1202" s="22">
        <f t="shared" si="148"/>
        <v>18702.38</v>
      </c>
      <c r="G1202" s="22">
        <f t="shared" si="148"/>
        <v>18702.38</v>
      </c>
      <c r="H1202" s="22">
        <f t="shared" si="148"/>
        <v>18702.38</v>
      </c>
      <c r="I1202" s="22">
        <f t="shared" si="148"/>
        <v>18702.38</v>
      </c>
      <c r="J1202" s="22">
        <f t="shared" si="148"/>
        <v>18702.38</v>
      </c>
      <c r="K1202" s="22">
        <f t="shared" si="148"/>
        <v>18702.38</v>
      </c>
      <c r="L1202" s="22">
        <f t="shared" si="148"/>
        <v>18702.38</v>
      </c>
      <c r="M1202" s="22">
        <f t="shared" si="148"/>
        <v>18702.38</v>
      </c>
      <c r="N1202" s="22">
        <f t="shared" si="148"/>
        <v>18702.38</v>
      </c>
      <c r="O1202" s="30">
        <f t="shared" si="148"/>
        <v>18702.38</v>
      </c>
      <c r="P1202" s="22">
        <f>SUM(P1199:P1201)</f>
        <v>224678.56000000003</v>
      </c>
    </row>
    <row r="1203" ht="14.25" customHeight="1">
      <c r="C1203" s="10"/>
    </row>
    <row r="1204" spans="1:3" ht="14.25" customHeight="1">
      <c r="A1204" s="14">
        <f>+A1198+1</f>
        <v>90</v>
      </c>
      <c r="C1204" s="5" t="s">
        <v>342</v>
      </c>
    </row>
    <row r="1205" spans="3:16" ht="14.25" customHeight="1">
      <c r="C1205" s="4" t="s">
        <v>3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9">
        <v>0</v>
      </c>
      <c r="P1205" s="21">
        <f>SUM(D1205:O1205)</f>
        <v>0</v>
      </c>
    </row>
    <row r="1206" spans="3:16" ht="14.25" customHeight="1">
      <c r="C1206" s="4" t="s">
        <v>4</v>
      </c>
      <c r="D1206" s="48">
        <v>250</v>
      </c>
      <c r="P1206" s="21">
        <f>SUM(D1206:O1206)</f>
        <v>250</v>
      </c>
    </row>
    <row r="1207" spans="3:16" ht="14.25" customHeight="1" thickBot="1">
      <c r="C1207" s="4" t="s">
        <v>5</v>
      </c>
      <c r="D1207" s="48">
        <f aca="true" t="shared" si="149" ref="D1207:I1207">19517.83+33271.63</f>
        <v>52789.46</v>
      </c>
      <c r="E1207" s="48">
        <f t="shared" si="149"/>
        <v>52789.46</v>
      </c>
      <c r="F1207" s="48">
        <f t="shared" si="149"/>
        <v>52789.46</v>
      </c>
      <c r="G1207" s="48">
        <f t="shared" si="149"/>
        <v>52789.46</v>
      </c>
      <c r="H1207" s="48">
        <f t="shared" si="149"/>
        <v>52789.46</v>
      </c>
      <c r="I1207" s="48">
        <f t="shared" si="149"/>
        <v>52789.46</v>
      </c>
      <c r="J1207" s="48">
        <f aca="true" t="shared" si="150" ref="J1207:O1207">19517.83+32729.16</f>
        <v>52246.990000000005</v>
      </c>
      <c r="K1207" s="48">
        <f t="shared" si="150"/>
        <v>52246.990000000005</v>
      </c>
      <c r="L1207" s="48">
        <f t="shared" si="150"/>
        <v>52246.990000000005</v>
      </c>
      <c r="M1207" s="48">
        <f t="shared" si="150"/>
        <v>52246.990000000005</v>
      </c>
      <c r="N1207" s="48">
        <f t="shared" si="150"/>
        <v>52246.990000000005</v>
      </c>
      <c r="O1207" s="50">
        <f t="shared" si="150"/>
        <v>52246.990000000005</v>
      </c>
      <c r="P1207" s="21">
        <f>SUM(D1207:O1207)</f>
        <v>630218.7</v>
      </c>
    </row>
    <row r="1208" spans="3:16" ht="14.25" customHeight="1" thickBot="1">
      <c r="C1208" s="6" t="s">
        <v>343</v>
      </c>
      <c r="D1208" s="22">
        <f>SUM(D1205:D1207)</f>
        <v>53039.46</v>
      </c>
      <c r="E1208" s="22">
        <f aca="true" t="shared" si="151" ref="E1208:O1208">SUM(E1205:E1207)</f>
        <v>52789.46</v>
      </c>
      <c r="F1208" s="22">
        <f t="shared" si="151"/>
        <v>52789.46</v>
      </c>
      <c r="G1208" s="22">
        <f t="shared" si="151"/>
        <v>52789.46</v>
      </c>
      <c r="H1208" s="22">
        <f t="shared" si="151"/>
        <v>52789.46</v>
      </c>
      <c r="I1208" s="22">
        <f t="shared" si="151"/>
        <v>52789.46</v>
      </c>
      <c r="J1208" s="22">
        <f t="shared" si="151"/>
        <v>52246.990000000005</v>
      </c>
      <c r="K1208" s="22">
        <f t="shared" si="151"/>
        <v>52246.990000000005</v>
      </c>
      <c r="L1208" s="22">
        <f t="shared" si="151"/>
        <v>52246.990000000005</v>
      </c>
      <c r="M1208" s="22">
        <f t="shared" si="151"/>
        <v>52246.990000000005</v>
      </c>
      <c r="N1208" s="22">
        <f t="shared" si="151"/>
        <v>52246.990000000005</v>
      </c>
      <c r="O1208" s="30">
        <f t="shared" si="151"/>
        <v>52246.990000000005</v>
      </c>
      <c r="P1208" s="22">
        <f>SUM(P1205:P1207)</f>
        <v>630468.7</v>
      </c>
    </row>
    <row r="1209" ht="14.25" customHeight="1">
      <c r="C1209" s="10"/>
    </row>
    <row r="1210" spans="1:3" ht="14.25" customHeight="1">
      <c r="A1210" s="14">
        <f>+A1204+1</f>
        <v>91</v>
      </c>
      <c r="C1210" s="5" t="s">
        <v>344</v>
      </c>
    </row>
    <row r="1211" spans="3:16" ht="14.25" customHeight="1">
      <c r="C1211" s="4" t="s">
        <v>3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9">
        <v>0</v>
      </c>
      <c r="P1211" s="21">
        <f>SUM(D1211:O1211)</f>
        <v>0</v>
      </c>
    </row>
    <row r="1212" spans="3:16" ht="14.25" customHeight="1">
      <c r="C1212" s="4" t="s">
        <v>4</v>
      </c>
      <c r="D1212" s="48">
        <v>250</v>
      </c>
      <c r="P1212" s="21">
        <f>SUM(D1212:O1212)</f>
        <v>250</v>
      </c>
    </row>
    <row r="1213" spans="3:16" ht="14.25" customHeight="1" thickBot="1">
      <c r="C1213" s="4" t="s">
        <v>5</v>
      </c>
      <c r="D1213" s="21">
        <v>107461.25</v>
      </c>
      <c r="E1213" s="21">
        <v>107461.25</v>
      </c>
      <c r="F1213" s="21">
        <v>107461.25</v>
      </c>
      <c r="G1213" s="21">
        <v>107461.25</v>
      </c>
      <c r="H1213" s="21">
        <v>107461.25</v>
      </c>
      <c r="I1213" s="21">
        <v>94818.75</v>
      </c>
      <c r="J1213" s="21">
        <v>94818.75</v>
      </c>
      <c r="K1213" s="21">
        <v>94818.75</v>
      </c>
      <c r="L1213" s="21">
        <v>94818.75</v>
      </c>
      <c r="M1213" s="21">
        <v>94818.75</v>
      </c>
      <c r="N1213" s="21">
        <v>94818.75</v>
      </c>
      <c r="O1213" s="29">
        <f>36666.67+94818.75</f>
        <v>131485.41999999998</v>
      </c>
      <c r="P1213" s="21">
        <f>SUM(D1213:O1213)</f>
        <v>1237704.17</v>
      </c>
    </row>
    <row r="1214" spans="3:16" ht="14.25" customHeight="1" thickBot="1">
      <c r="C1214" s="6" t="s">
        <v>260</v>
      </c>
      <c r="D1214" s="22">
        <f>SUM(D1211:D1213)</f>
        <v>107711.25</v>
      </c>
      <c r="E1214" s="22">
        <f aca="true" t="shared" si="152" ref="E1214:O1214">SUM(E1211:E1213)</f>
        <v>107461.25</v>
      </c>
      <c r="F1214" s="22">
        <f t="shared" si="152"/>
        <v>107461.25</v>
      </c>
      <c r="G1214" s="22">
        <f t="shared" si="152"/>
        <v>107461.25</v>
      </c>
      <c r="H1214" s="22">
        <f t="shared" si="152"/>
        <v>107461.25</v>
      </c>
      <c r="I1214" s="22">
        <f t="shared" si="152"/>
        <v>94818.75</v>
      </c>
      <c r="J1214" s="22">
        <f t="shared" si="152"/>
        <v>94818.75</v>
      </c>
      <c r="K1214" s="22">
        <f t="shared" si="152"/>
        <v>94818.75</v>
      </c>
      <c r="L1214" s="22">
        <f t="shared" si="152"/>
        <v>94818.75</v>
      </c>
      <c r="M1214" s="22">
        <f t="shared" si="152"/>
        <v>94818.75</v>
      </c>
      <c r="N1214" s="22">
        <f t="shared" si="152"/>
        <v>94818.75</v>
      </c>
      <c r="O1214" s="30">
        <f t="shared" si="152"/>
        <v>131485.41999999998</v>
      </c>
      <c r="P1214" s="22">
        <f>SUM(P1211:P1213)</f>
        <v>1237954.17</v>
      </c>
    </row>
    <row r="1215" ht="14.25" customHeight="1">
      <c r="C1215" s="10"/>
    </row>
    <row r="1216" spans="1:3" ht="14.25" customHeight="1">
      <c r="A1216" s="14">
        <f>+A1210+1</f>
        <v>92</v>
      </c>
      <c r="C1216" s="5" t="s">
        <v>345</v>
      </c>
    </row>
    <row r="1217" spans="3:16" ht="14.25" customHeight="1">
      <c r="C1217" s="4" t="s">
        <v>3</v>
      </c>
      <c r="D1217" s="21">
        <v>5003.64</v>
      </c>
      <c r="E1217" s="21">
        <v>5003.64</v>
      </c>
      <c r="F1217" s="21">
        <v>5003.64</v>
      </c>
      <c r="G1217" s="21">
        <v>5003.64</v>
      </c>
      <c r="H1217" s="21">
        <v>5003.64</v>
      </c>
      <c r="I1217" s="21">
        <v>5003.64</v>
      </c>
      <c r="J1217" s="21">
        <v>5003.64</v>
      </c>
      <c r="K1217" s="21">
        <v>5003.64</v>
      </c>
      <c r="L1217" s="21">
        <v>5003.64</v>
      </c>
      <c r="M1217" s="21">
        <v>5003.64</v>
      </c>
      <c r="N1217" s="21">
        <v>4586.67</v>
      </c>
      <c r="O1217" s="29">
        <v>4586.67</v>
      </c>
      <c r="P1217" s="21">
        <f>SUM(D1217:O1217)</f>
        <v>59209.74</v>
      </c>
    </row>
    <row r="1218" spans="3:16" ht="14.25" customHeight="1">
      <c r="C1218" s="4" t="s">
        <v>4</v>
      </c>
      <c r="D1218" s="48">
        <v>250</v>
      </c>
      <c r="P1218" s="21">
        <f>SUM(D1218:O1218)</f>
        <v>250</v>
      </c>
    </row>
    <row r="1219" spans="3:16" ht="14.25" customHeight="1" thickBot="1">
      <c r="C1219" s="4" t="s">
        <v>5</v>
      </c>
      <c r="D1219" s="21">
        <v>233565</v>
      </c>
      <c r="E1219" s="21">
        <v>233565</v>
      </c>
      <c r="F1219" s="21">
        <v>233565</v>
      </c>
      <c r="G1219" s="21">
        <v>233565</v>
      </c>
      <c r="H1219" s="21">
        <v>233565</v>
      </c>
      <c r="I1219" s="48">
        <f>8333.33+228487.5</f>
        <v>236820.83</v>
      </c>
      <c r="J1219" s="48">
        <f aca="true" t="shared" si="153" ref="J1219:O1219">8333.33+228487.5</f>
        <v>236820.83</v>
      </c>
      <c r="K1219" s="48">
        <f t="shared" si="153"/>
        <v>236820.83</v>
      </c>
      <c r="L1219" s="48">
        <f t="shared" si="153"/>
        <v>236820.83</v>
      </c>
      <c r="M1219" s="48">
        <f t="shared" si="153"/>
        <v>236820.83</v>
      </c>
      <c r="N1219" s="48">
        <f t="shared" si="153"/>
        <v>236820.83</v>
      </c>
      <c r="O1219" s="50">
        <f t="shared" si="153"/>
        <v>236820.83</v>
      </c>
      <c r="P1219" s="21">
        <f>SUM(D1219:O1219)</f>
        <v>2825570.8100000005</v>
      </c>
    </row>
    <row r="1220" spans="3:16" ht="14.25" customHeight="1" thickBot="1">
      <c r="C1220" s="6" t="s">
        <v>115</v>
      </c>
      <c r="D1220" s="22">
        <f>SUM(D1217:D1219)</f>
        <v>238818.64</v>
      </c>
      <c r="E1220" s="22">
        <f aca="true" t="shared" si="154" ref="E1220:O1220">SUM(E1217:E1219)</f>
        <v>238568.64</v>
      </c>
      <c r="F1220" s="22">
        <f t="shared" si="154"/>
        <v>238568.64</v>
      </c>
      <c r="G1220" s="22">
        <f t="shared" si="154"/>
        <v>238568.64</v>
      </c>
      <c r="H1220" s="22">
        <f t="shared" si="154"/>
        <v>238568.64</v>
      </c>
      <c r="I1220" s="22">
        <f t="shared" si="154"/>
        <v>241824.47</v>
      </c>
      <c r="J1220" s="22">
        <f t="shared" si="154"/>
        <v>241824.47</v>
      </c>
      <c r="K1220" s="22">
        <f t="shared" si="154"/>
        <v>241824.47</v>
      </c>
      <c r="L1220" s="22">
        <f t="shared" si="154"/>
        <v>241824.47</v>
      </c>
      <c r="M1220" s="22">
        <f t="shared" si="154"/>
        <v>241824.47</v>
      </c>
      <c r="N1220" s="22">
        <f t="shared" si="154"/>
        <v>241407.5</v>
      </c>
      <c r="O1220" s="30">
        <f t="shared" si="154"/>
        <v>241407.5</v>
      </c>
      <c r="P1220" s="22">
        <f>SUM(P1217:P1219)</f>
        <v>2885030.5500000007</v>
      </c>
    </row>
    <row r="1221" ht="14.25" customHeight="1">
      <c r="C1221" s="10"/>
    </row>
    <row r="1222" spans="1:3" ht="14.25" customHeight="1">
      <c r="A1222" s="14">
        <f>+A1216+1</f>
        <v>93</v>
      </c>
      <c r="C1222" s="5" t="s">
        <v>346</v>
      </c>
    </row>
    <row r="1223" spans="3:16" ht="14.25" customHeight="1">
      <c r="C1223" s="4" t="s">
        <v>3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9">
        <v>0</v>
      </c>
      <c r="P1223" s="21">
        <f>SUM(D1223:O1223)</f>
        <v>0</v>
      </c>
    </row>
    <row r="1224" spans="3:16" ht="14.25" customHeight="1">
      <c r="C1224" s="4" t="s">
        <v>4</v>
      </c>
      <c r="D1224" s="48">
        <v>250</v>
      </c>
      <c r="P1224" s="21">
        <f>SUM(D1224:O1224)</f>
        <v>250</v>
      </c>
    </row>
    <row r="1225" spans="3:16" ht="14.25" customHeight="1" thickBot="1">
      <c r="C1225" s="4" t="s">
        <v>5</v>
      </c>
      <c r="D1225" s="21">
        <v>102874.69</v>
      </c>
      <c r="E1225" s="21">
        <v>95728.75</v>
      </c>
      <c r="F1225" s="21">
        <v>95728.75</v>
      </c>
      <c r="G1225" s="21">
        <v>95728.75</v>
      </c>
      <c r="H1225" s="21">
        <v>95728.75</v>
      </c>
      <c r="I1225" s="21">
        <f>25000+95728.75</f>
        <v>120728.75</v>
      </c>
      <c r="J1225" s="48">
        <f>25000+95647.5</f>
        <v>120647.5</v>
      </c>
      <c r="K1225" s="48">
        <f>25000+95566.25</f>
        <v>120566.25</v>
      </c>
      <c r="L1225" s="48">
        <f>25000+95485</f>
        <v>120485</v>
      </c>
      <c r="M1225" s="48">
        <f>25000+95403.75</f>
        <v>120403.75</v>
      </c>
      <c r="N1225" s="48">
        <f>25000+95322.5</f>
        <v>120322.5</v>
      </c>
      <c r="O1225" s="50">
        <f>90000+95241.25</f>
        <v>185241.25</v>
      </c>
      <c r="P1225" s="21">
        <f>SUM(D1225:O1225)</f>
        <v>1394184.69</v>
      </c>
    </row>
    <row r="1226" spans="3:16" ht="14.25" customHeight="1" thickBot="1">
      <c r="C1226" s="6" t="s">
        <v>26</v>
      </c>
      <c r="D1226" s="22">
        <f>SUM(D1223:D1225)</f>
        <v>103124.69</v>
      </c>
      <c r="E1226" s="22">
        <f aca="true" t="shared" si="155" ref="E1226:O1226">SUM(E1223:E1225)</f>
        <v>95728.75</v>
      </c>
      <c r="F1226" s="22">
        <f t="shared" si="155"/>
        <v>95728.75</v>
      </c>
      <c r="G1226" s="22">
        <f t="shared" si="155"/>
        <v>95728.75</v>
      </c>
      <c r="H1226" s="22">
        <f t="shared" si="155"/>
        <v>95728.75</v>
      </c>
      <c r="I1226" s="22">
        <f t="shared" si="155"/>
        <v>120728.75</v>
      </c>
      <c r="J1226" s="22">
        <f t="shared" si="155"/>
        <v>120647.5</v>
      </c>
      <c r="K1226" s="22">
        <f t="shared" si="155"/>
        <v>120566.25</v>
      </c>
      <c r="L1226" s="22">
        <f t="shared" si="155"/>
        <v>120485</v>
      </c>
      <c r="M1226" s="22">
        <f t="shared" si="155"/>
        <v>120403.75</v>
      </c>
      <c r="N1226" s="22">
        <f t="shared" si="155"/>
        <v>120322.5</v>
      </c>
      <c r="O1226" s="30">
        <f t="shared" si="155"/>
        <v>185241.25</v>
      </c>
      <c r="P1226" s="22">
        <f>SUM(P1223:P1225)</f>
        <v>1394434.69</v>
      </c>
    </row>
    <row r="1227" ht="14.25" customHeight="1">
      <c r="C1227" s="10"/>
    </row>
    <row r="1228" spans="1:3" ht="14.25" customHeight="1">
      <c r="A1228" s="14">
        <f>+A1222+1</f>
        <v>94</v>
      </c>
      <c r="C1228" s="5" t="s">
        <v>347</v>
      </c>
    </row>
    <row r="1229" spans="3:16" ht="14.25" customHeight="1">
      <c r="C1229" s="4" t="s">
        <v>3</v>
      </c>
      <c r="D1229" s="21">
        <v>0</v>
      </c>
      <c r="E1229" s="21">
        <v>0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9">
        <v>0</v>
      </c>
      <c r="P1229" s="21">
        <f>SUM(D1229:O1229)</f>
        <v>0</v>
      </c>
    </row>
    <row r="1230" spans="3:16" ht="14.25" customHeight="1">
      <c r="C1230" s="4" t="s">
        <v>4</v>
      </c>
      <c r="D1230" s="48">
        <v>250</v>
      </c>
      <c r="P1230" s="21">
        <f>SUM(D1230:O1230)</f>
        <v>250</v>
      </c>
    </row>
    <row r="1231" spans="3:16" ht="14.25" customHeight="1" thickBot="1">
      <c r="C1231" s="4" t="s">
        <v>5</v>
      </c>
      <c r="D1231" s="21">
        <v>70458.33</v>
      </c>
      <c r="E1231" s="21">
        <v>70458.33</v>
      </c>
      <c r="F1231" s="21">
        <v>70458.33</v>
      </c>
      <c r="G1231" s="21">
        <v>70458.33</v>
      </c>
      <c r="H1231" s="21">
        <v>70458.35</v>
      </c>
      <c r="I1231" s="21">
        <v>66750</v>
      </c>
      <c r="J1231" s="21">
        <v>66750</v>
      </c>
      <c r="K1231" s="21">
        <v>66750</v>
      </c>
      <c r="L1231" s="21">
        <v>66750</v>
      </c>
      <c r="M1231" s="21">
        <v>66750</v>
      </c>
      <c r="N1231" s="21">
        <v>66750</v>
      </c>
      <c r="O1231" s="29">
        <v>66750</v>
      </c>
      <c r="P1231" s="21">
        <f>SUM(D1231:O1231)</f>
        <v>819541.67</v>
      </c>
    </row>
    <row r="1232" spans="3:16" ht="14.25" customHeight="1" thickBot="1">
      <c r="C1232" s="6" t="s">
        <v>348</v>
      </c>
      <c r="D1232" s="22">
        <f>SUM(D1229:D1231)</f>
        <v>70708.33</v>
      </c>
      <c r="E1232" s="22">
        <f aca="true" t="shared" si="156" ref="E1232:O1232">SUM(E1229:E1231)</f>
        <v>70458.33</v>
      </c>
      <c r="F1232" s="22">
        <f t="shared" si="156"/>
        <v>70458.33</v>
      </c>
      <c r="G1232" s="22">
        <f t="shared" si="156"/>
        <v>70458.33</v>
      </c>
      <c r="H1232" s="22">
        <f t="shared" si="156"/>
        <v>70458.35</v>
      </c>
      <c r="I1232" s="22">
        <f t="shared" si="156"/>
        <v>66750</v>
      </c>
      <c r="J1232" s="22">
        <f t="shared" si="156"/>
        <v>66750</v>
      </c>
      <c r="K1232" s="22">
        <f t="shared" si="156"/>
        <v>66750</v>
      </c>
      <c r="L1232" s="22">
        <f t="shared" si="156"/>
        <v>66750</v>
      </c>
      <c r="M1232" s="22">
        <f t="shared" si="156"/>
        <v>66750</v>
      </c>
      <c r="N1232" s="22">
        <f t="shared" si="156"/>
        <v>66750</v>
      </c>
      <c r="O1232" s="30">
        <f t="shared" si="156"/>
        <v>66750</v>
      </c>
      <c r="P1232" s="22">
        <f>SUM(P1229:P1231)</f>
        <v>819791.67</v>
      </c>
    </row>
    <row r="1233" ht="14.25" customHeight="1">
      <c r="C1233" s="10"/>
    </row>
    <row r="1234" spans="1:3" ht="14.25" customHeight="1">
      <c r="A1234" s="14">
        <f>+A1228+1</f>
        <v>95</v>
      </c>
      <c r="C1234" s="5" t="s">
        <v>349</v>
      </c>
    </row>
    <row r="1235" spans="3:16" ht="14.25" customHeight="1">
      <c r="C1235" s="4" t="s">
        <v>3</v>
      </c>
      <c r="D1235" s="21">
        <v>1247.5</v>
      </c>
      <c r="E1235" s="21">
        <v>1247.5</v>
      </c>
      <c r="F1235" s="21">
        <v>1247.5</v>
      </c>
      <c r="G1235" s="21">
        <v>1247.5</v>
      </c>
      <c r="H1235" s="21">
        <v>1247.5</v>
      </c>
      <c r="I1235" s="21">
        <v>1247.5</v>
      </c>
      <c r="J1235" s="21">
        <v>1247.5</v>
      </c>
      <c r="K1235" s="21">
        <v>1247.5</v>
      </c>
      <c r="L1235" s="21">
        <v>1247.5</v>
      </c>
      <c r="M1235" s="21">
        <v>1247.5</v>
      </c>
      <c r="N1235" s="21">
        <v>1247.5</v>
      </c>
      <c r="O1235" s="29">
        <v>1247.5</v>
      </c>
      <c r="P1235" s="21">
        <f>SUM(D1235:O1235)</f>
        <v>14970</v>
      </c>
    </row>
    <row r="1236" spans="3:16" ht="14.25" customHeight="1">
      <c r="C1236" s="4" t="s">
        <v>4</v>
      </c>
      <c r="D1236" s="48">
        <v>250</v>
      </c>
      <c r="P1236" s="21">
        <f>SUM(D1236:O1236)</f>
        <v>250</v>
      </c>
    </row>
    <row r="1237" spans="3:16" ht="14.25" customHeight="1" thickBot="1">
      <c r="C1237" s="4" t="s">
        <v>5</v>
      </c>
      <c r="D1237" s="21">
        <v>62007.76</v>
      </c>
      <c r="E1237" s="21">
        <v>62007.76</v>
      </c>
      <c r="F1237" s="21">
        <v>62007.76</v>
      </c>
      <c r="G1237" s="21">
        <v>62007.76</v>
      </c>
      <c r="H1237" s="21">
        <v>62007.73</v>
      </c>
      <c r="I1237" s="21">
        <v>62354.17</v>
      </c>
      <c r="J1237" s="21">
        <v>62354.17</v>
      </c>
      <c r="K1237" s="21">
        <v>62354.17</v>
      </c>
      <c r="L1237" s="21">
        <v>62354.17</v>
      </c>
      <c r="M1237" s="21">
        <v>62354.17</v>
      </c>
      <c r="N1237" s="21">
        <v>62354.15</v>
      </c>
      <c r="O1237" s="29">
        <v>62354.17</v>
      </c>
      <c r="P1237" s="21">
        <f>SUM(D1237:O1237)</f>
        <v>746517.9400000001</v>
      </c>
    </row>
    <row r="1238" spans="3:16" ht="14.25" customHeight="1" thickBot="1">
      <c r="C1238" s="6" t="s">
        <v>350</v>
      </c>
      <c r="D1238" s="22">
        <f>SUM(D1235:D1237)</f>
        <v>63505.26</v>
      </c>
      <c r="E1238" s="22">
        <f aca="true" t="shared" si="157" ref="E1238:O1238">SUM(E1235:E1237)</f>
        <v>63255.26</v>
      </c>
      <c r="F1238" s="22">
        <f t="shared" si="157"/>
        <v>63255.26</v>
      </c>
      <c r="G1238" s="22">
        <f t="shared" si="157"/>
        <v>63255.26</v>
      </c>
      <c r="H1238" s="22">
        <f t="shared" si="157"/>
        <v>63255.23</v>
      </c>
      <c r="I1238" s="22">
        <f t="shared" si="157"/>
        <v>63601.67</v>
      </c>
      <c r="J1238" s="22">
        <f t="shared" si="157"/>
        <v>63601.67</v>
      </c>
      <c r="K1238" s="22">
        <f t="shared" si="157"/>
        <v>63601.67</v>
      </c>
      <c r="L1238" s="22">
        <f t="shared" si="157"/>
        <v>63601.67</v>
      </c>
      <c r="M1238" s="22">
        <f t="shared" si="157"/>
        <v>63601.67</v>
      </c>
      <c r="N1238" s="22">
        <f t="shared" si="157"/>
        <v>63601.65</v>
      </c>
      <c r="O1238" s="30">
        <f t="shared" si="157"/>
        <v>63601.67</v>
      </c>
      <c r="P1238" s="22">
        <f>SUM(P1235:P1237)</f>
        <v>761737.9400000001</v>
      </c>
    </row>
    <row r="1239" ht="14.25" customHeight="1">
      <c r="C1239" s="10"/>
    </row>
    <row r="1240" spans="1:3" ht="14.25" customHeight="1">
      <c r="A1240" s="14">
        <f>+A1234+1</f>
        <v>96</v>
      </c>
      <c r="C1240" s="5" t="s">
        <v>353</v>
      </c>
    </row>
    <row r="1241" spans="3:16" ht="14.25" customHeight="1">
      <c r="C1241" s="4" t="s">
        <v>3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9">
        <v>0</v>
      </c>
      <c r="P1241" s="21">
        <f>SUM(D1241:O1241)</f>
        <v>0</v>
      </c>
    </row>
    <row r="1242" spans="3:16" ht="14.25" customHeight="1">
      <c r="C1242" s="4" t="s">
        <v>4</v>
      </c>
      <c r="D1242" s="48"/>
      <c r="E1242" s="48">
        <v>229.17</v>
      </c>
      <c r="P1242" s="21">
        <f>SUM(D1242:O1242)</f>
        <v>229.17</v>
      </c>
    </row>
    <row r="1243" spans="3:16" ht="14.25" customHeight="1" thickBot="1">
      <c r="C1243" s="4" t="s">
        <v>5</v>
      </c>
      <c r="D1243" s="21">
        <v>0</v>
      </c>
      <c r="E1243" s="21">
        <f>133446.84-73957.84</f>
        <v>59489</v>
      </c>
      <c r="F1243" s="21">
        <f>133446.84-73957.84</f>
        <v>59489</v>
      </c>
      <c r="G1243" s="21">
        <f>133446.84-73957.84</f>
        <v>59489</v>
      </c>
      <c r="H1243" s="21">
        <f>133446.81-73957.87</f>
        <v>59488.94</v>
      </c>
      <c r="I1243" s="21">
        <f>107473.96-49305.23</f>
        <v>58168.73</v>
      </c>
      <c r="J1243" s="21">
        <f>107473.96-49305.23</f>
        <v>58168.73</v>
      </c>
      <c r="K1243" s="21">
        <f>107473.96-49305.23</f>
        <v>58168.73</v>
      </c>
      <c r="L1243" s="21">
        <f>107473.96-49305.23</f>
        <v>58168.73</v>
      </c>
      <c r="M1243" s="21">
        <f>107473.96-49305.23</f>
        <v>58168.73</v>
      </c>
      <c r="N1243" s="21">
        <f>107473.95-49305.24</f>
        <v>58168.71</v>
      </c>
      <c r="O1243" s="29">
        <f>107473.96-28545.03</f>
        <v>78928.93000000001</v>
      </c>
      <c r="P1243" s="21">
        <f>SUM(D1243:O1243)</f>
        <v>665897.23</v>
      </c>
    </row>
    <row r="1244" spans="3:16" ht="14.25" customHeight="1" thickBot="1">
      <c r="C1244" s="6" t="s">
        <v>354</v>
      </c>
      <c r="D1244" s="22">
        <f>SUM(D1241:D1243)</f>
        <v>0</v>
      </c>
      <c r="E1244" s="22">
        <f aca="true" t="shared" si="158" ref="E1244:O1244">SUM(E1241:E1243)</f>
        <v>59718.17</v>
      </c>
      <c r="F1244" s="22">
        <f t="shared" si="158"/>
        <v>59489</v>
      </c>
      <c r="G1244" s="22">
        <f t="shared" si="158"/>
        <v>59489</v>
      </c>
      <c r="H1244" s="22">
        <f t="shared" si="158"/>
        <v>59488.94</v>
      </c>
      <c r="I1244" s="22">
        <f t="shared" si="158"/>
        <v>58168.73</v>
      </c>
      <c r="J1244" s="22">
        <f t="shared" si="158"/>
        <v>58168.73</v>
      </c>
      <c r="K1244" s="22">
        <f t="shared" si="158"/>
        <v>58168.73</v>
      </c>
      <c r="L1244" s="22">
        <f t="shared" si="158"/>
        <v>58168.73</v>
      </c>
      <c r="M1244" s="22">
        <f t="shared" si="158"/>
        <v>58168.73</v>
      </c>
      <c r="N1244" s="22">
        <f t="shared" si="158"/>
        <v>58168.71</v>
      </c>
      <c r="O1244" s="30">
        <f t="shared" si="158"/>
        <v>78928.93000000001</v>
      </c>
      <c r="P1244" s="22">
        <f>SUM(P1241:P1243)</f>
        <v>666126.4</v>
      </c>
    </row>
    <row r="1245" ht="14.25" customHeight="1">
      <c r="C1245" s="10"/>
    </row>
    <row r="1246" spans="1:3" ht="14.25" customHeight="1">
      <c r="A1246" s="14">
        <f>+A1240+1</f>
        <v>97</v>
      </c>
      <c r="C1246" s="5" t="s">
        <v>355</v>
      </c>
    </row>
    <row r="1247" spans="3:16" ht="14.25" customHeight="1">
      <c r="C1247" s="4" t="s">
        <v>3</v>
      </c>
      <c r="D1247" s="21">
        <v>0</v>
      </c>
      <c r="E1247" s="21">
        <v>659.55</v>
      </c>
      <c r="F1247" s="21">
        <v>659.55</v>
      </c>
      <c r="G1247" s="21">
        <v>659.55</v>
      </c>
      <c r="H1247" s="21">
        <v>659.55</v>
      </c>
      <c r="I1247" s="21">
        <v>659.55</v>
      </c>
      <c r="J1247" s="21">
        <v>659.55</v>
      </c>
      <c r="K1247" s="21">
        <v>659.55</v>
      </c>
      <c r="L1247" s="21">
        <v>659.55</v>
      </c>
      <c r="M1247" s="21">
        <v>659.55</v>
      </c>
      <c r="N1247" s="21">
        <v>659.55</v>
      </c>
      <c r="O1247" s="29">
        <v>659.55</v>
      </c>
      <c r="P1247" s="21">
        <f>SUM(D1247:O1247)</f>
        <v>7255.050000000001</v>
      </c>
    </row>
    <row r="1248" spans="3:16" ht="14.25" customHeight="1">
      <c r="C1248" s="4" t="s">
        <v>4</v>
      </c>
      <c r="D1248" s="48"/>
      <c r="E1248" s="48">
        <v>229.17</v>
      </c>
      <c r="P1248" s="21">
        <f>SUM(D1248:O1248)</f>
        <v>229.17</v>
      </c>
    </row>
    <row r="1249" spans="3:16" ht="14.25" customHeight="1" thickBot="1">
      <c r="C1249" s="4" t="s">
        <v>5</v>
      </c>
      <c r="D1249" s="21">
        <v>0</v>
      </c>
      <c r="E1249" s="45">
        <v>15823.99</v>
      </c>
      <c r="F1249" s="21">
        <v>15313.54</v>
      </c>
      <c r="G1249" s="21">
        <v>15313.54</v>
      </c>
      <c r="H1249" s="21">
        <v>15313.54</v>
      </c>
      <c r="I1249" s="21">
        <v>15313.54</v>
      </c>
      <c r="J1249" s="21">
        <v>15313.54</v>
      </c>
      <c r="K1249" s="21">
        <v>15313.55</v>
      </c>
      <c r="L1249" s="21">
        <v>15313.54</v>
      </c>
      <c r="M1249" s="21">
        <v>15313.54</v>
      </c>
      <c r="N1249" s="21">
        <v>15313.54</v>
      </c>
      <c r="O1249" s="29">
        <v>15313.54</v>
      </c>
      <c r="P1249" s="21">
        <f>SUM(D1249:O1249)</f>
        <v>168959.40000000002</v>
      </c>
    </row>
    <row r="1250" spans="3:16" ht="14.25" customHeight="1" thickBot="1">
      <c r="C1250" s="6" t="s">
        <v>201</v>
      </c>
      <c r="D1250" s="22">
        <f>SUM(D1247:D1249)</f>
        <v>0</v>
      </c>
      <c r="E1250" s="22">
        <f aca="true" t="shared" si="159" ref="E1250:O1250">SUM(E1247:E1249)</f>
        <v>16712.71</v>
      </c>
      <c r="F1250" s="22">
        <f t="shared" si="159"/>
        <v>15973.09</v>
      </c>
      <c r="G1250" s="22">
        <f t="shared" si="159"/>
        <v>15973.09</v>
      </c>
      <c r="H1250" s="22">
        <f t="shared" si="159"/>
        <v>15973.09</v>
      </c>
      <c r="I1250" s="22">
        <f t="shared" si="159"/>
        <v>15973.09</v>
      </c>
      <c r="J1250" s="22">
        <f t="shared" si="159"/>
        <v>15973.09</v>
      </c>
      <c r="K1250" s="22">
        <f t="shared" si="159"/>
        <v>15973.099999999999</v>
      </c>
      <c r="L1250" s="22">
        <f t="shared" si="159"/>
        <v>15973.09</v>
      </c>
      <c r="M1250" s="22">
        <f t="shared" si="159"/>
        <v>15973.09</v>
      </c>
      <c r="N1250" s="22">
        <f t="shared" si="159"/>
        <v>15973.09</v>
      </c>
      <c r="O1250" s="30">
        <f t="shared" si="159"/>
        <v>15973.09</v>
      </c>
      <c r="P1250" s="22">
        <f>SUM(P1247:P1249)</f>
        <v>176443.62000000002</v>
      </c>
    </row>
    <row r="1251" ht="14.25" customHeight="1">
      <c r="C1251" s="10"/>
    </row>
    <row r="1252" spans="1:3" ht="14.25" customHeight="1">
      <c r="A1252" s="14">
        <f>+A1246+1</f>
        <v>98</v>
      </c>
      <c r="C1252" s="5" t="s">
        <v>356</v>
      </c>
    </row>
    <row r="1253" spans="3:16" ht="14.25" customHeight="1">
      <c r="C1253" s="4" t="s">
        <v>3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9">
        <v>0</v>
      </c>
      <c r="P1253" s="21">
        <f>SUM(D1253:O1253)</f>
        <v>0</v>
      </c>
    </row>
    <row r="1254" spans="3:16" ht="14.25" customHeight="1">
      <c r="C1254" s="4" t="s">
        <v>4</v>
      </c>
      <c r="D1254" s="48"/>
      <c r="E1254" s="48"/>
      <c r="F1254" s="48">
        <v>208.33</v>
      </c>
      <c r="P1254" s="21">
        <f>SUM(D1254:O1254)</f>
        <v>208.33</v>
      </c>
    </row>
    <row r="1255" spans="3:16" ht="14.25" customHeight="1" thickBot="1">
      <c r="C1255" s="4" t="s">
        <v>5</v>
      </c>
      <c r="D1255" s="21">
        <v>0</v>
      </c>
      <c r="E1255" s="45">
        <v>0</v>
      </c>
      <c r="F1255" s="21">
        <v>37748.75</v>
      </c>
      <c r="G1255" s="21">
        <v>37748.75</v>
      </c>
      <c r="H1255" s="21">
        <v>37748.75</v>
      </c>
      <c r="I1255" s="21">
        <v>31457.29</v>
      </c>
      <c r="J1255" s="21">
        <v>31457.29</v>
      </c>
      <c r="K1255" s="21">
        <v>31457.29</v>
      </c>
      <c r="L1255" s="21">
        <v>31457.29</v>
      </c>
      <c r="M1255" s="21">
        <v>31457.29</v>
      </c>
      <c r="N1255" s="21">
        <v>31457.3</v>
      </c>
      <c r="O1255" s="29">
        <v>31457.29</v>
      </c>
      <c r="P1255" s="21">
        <f>SUM(D1255:O1255)</f>
        <v>333447.29</v>
      </c>
    </row>
    <row r="1256" spans="3:16" ht="14.25" customHeight="1" thickBot="1">
      <c r="C1256" s="6" t="s">
        <v>357</v>
      </c>
      <c r="D1256" s="22">
        <f>SUM(D1253:D1255)</f>
        <v>0</v>
      </c>
      <c r="E1256" s="22">
        <f aca="true" t="shared" si="160" ref="E1256:O1256">SUM(E1253:E1255)</f>
        <v>0</v>
      </c>
      <c r="F1256" s="22">
        <f t="shared" si="160"/>
        <v>37957.08</v>
      </c>
      <c r="G1256" s="22">
        <f t="shared" si="160"/>
        <v>37748.75</v>
      </c>
      <c r="H1256" s="22">
        <f t="shared" si="160"/>
        <v>37748.75</v>
      </c>
      <c r="I1256" s="22">
        <f t="shared" si="160"/>
        <v>31457.29</v>
      </c>
      <c r="J1256" s="22">
        <f t="shared" si="160"/>
        <v>31457.29</v>
      </c>
      <c r="K1256" s="22">
        <f t="shared" si="160"/>
        <v>31457.29</v>
      </c>
      <c r="L1256" s="22">
        <f t="shared" si="160"/>
        <v>31457.29</v>
      </c>
      <c r="M1256" s="22">
        <f t="shared" si="160"/>
        <v>31457.29</v>
      </c>
      <c r="N1256" s="22">
        <f t="shared" si="160"/>
        <v>31457.3</v>
      </c>
      <c r="O1256" s="30">
        <f t="shared" si="160"/>
        <v>31457.29</v>
      </c>
      <c r="P1256" s="22">
        <f>SUM(P1253:P1255)</f>
        <v>333655.62</v>
      </c>
    </row>
    <row r="1257" ht="14.25" customHeight="1">
      <c r="C1257" s="10"/>
    </row>
    <row r="1258" spans="1:3" ht="14.25" customHeight="1">
      <c r="A1258" s="14">
        <f>+A1252+1</f>
        <v>99</v>
      </c>
      <c r="C1258" s="5" t="s">
        <v>358</v>
      </c>
    </row>
    <row r="1259" spans="3:16" ht="14.25" customHeight="1">
      <c r="C1259" s="4" t="s">
        <v>3</v>
      </c>
      <c r="D1259" s="21">
        <v>0</v>
      </c>
      <c r="E1259" s="21">
        <v>0</v>
      </c>
      <c r="F1259" s="21">
        <v>858.75</v>
      </c>
      <c r="G1259" s="21">
        <v>858.75</v>
      </c>
      <c r="H1259" s="21">
        <v>858.75</v>
      </c>
      <c r="I1259" s="21">
        <v>858.75</v>
      </c>
      <c r="J1259" s="21">
        <v>858.75</v>
      </c>
      <c r="K1259" s="21">
        <v>858.75</v>
      </c>
      <c r="L1259" s="21">
        <v>858.75</v>
      </c>
      <c r="M1259" s="21">
        <v>858.75</v>
      </c>
      <c r="N1259" s="21">
        <v>858.75</v>
      </c>
      <c r="O1259" s="29">
        <v>858.75</v>
      </c>
      <c r="P1259" s="21">
        <f>SUM(D1259:O1259)</f>
        <v>8587.5</v>
      </c>
    </row>
    <row r="1260" spans="3:16" ht="14.25" customHeight="1">
      <c r="C1260" s="4" t="s">
        <v>4</v>
      </c>
      <c r="D1260" s="48"/>
      <c r="E1260" s="48"/>
      <c r="F1260" s="48">
        <v>208.33</v>
      </c>
      <c r="P1260" s="21">
        <f>SUM(D1260:O1260)</f>
        <v>208.33</v>
      </c>
    </row>
    <row r="1261" spans="3:16" ht="14.25" customHeight="1" thickBot="1">
      <c r="C1261" s="4" t="s">
        <v>5</v>
      </c>
      <c r="D1261" s="21">
        <v>0</v>
      </c>
      <c r="E1261" s="45">
        <v>0</v>
      </c>
      <c r="F1261" s="21">
        <v>35304.17</v>
      </c>
      <c r="G1261" s="21">
        <v>35304.17</v>
      </c>
      <c r="H1261" s="21">
        <v>35304.17</v>
      </c>
      <c r="I1261" s="21">
        <v>35304.17</v>
      </c>
      <c r="J1261" s="21">
        <v>35304.17</v>
      </c>
      <c r="K1261" s="21">
        <v>35304.15</v>
      </c>
      <c r="L1261" s="21">
        <v>34350</v>
      </c>
      <c r="M1261" s="21">
        <v>34350</v>
      </c>
      <c r="N1261" s="21">
        <v>34350</v>
      </c>
      <c r="O1261" s="29">
        <v>34350</v>
      </c>
      <c r="P1261" s="21">
        <f>SUM(D1261:O1261)</f>
        <v>349225</v>
      </c>
    </row>
    <row r="1262" spans="3:16" ht="14.25" customHeight="1" thickBot="1">
      <c r="C1262" s="6" t="s">
        <v>88</v>
      </c>
      <c r="D1262" s="22">
        <f>SUM(D1259:D1261)</f>
        <v>0</v>
      </c>
      <c r="E1262" s="22">
        <f aca="true" t="shared" si="161" ref="E1262:O1262">SUM(E1259:E1261)</f>
        <v>0</v>
      </c>
      <c r="F1262" s="22">
        <f t="shared" si="161"/>
        <v>36371.25</v>
      </c>
      <c r="G1262" s="22">
        <f t="shared" si="161"/>
        <v>36162.92</v>
      </c>
      <c r="H1262" s="22">
        <f t="shared" si="161"/>
        <v>36162.92</v>
      </c>
      <c r="I1262" s="22">
        <f t="shared" si="161"/>
        <v>36162.92</v>
      </c>
      <c r="J1262" s="22">
        <f t="shared" si="161"/>
        <v>36162.92</v>
      </c>
      <c r="K1262" s="22">
        <f t="shared" si="161"/>
        <v>36162.9</v>
      </c>
      <c r="L1262" s="22">
        <f t="shared" si="161"/>
        <v>35208.75</v>
      </c>
      <c r="M1262" s="22">
        <f t="shared" si="161"/>
        <v>35208.75</v>
      </c>
      <c r="N1262" s="22">
        <f t="shared" si="161"/>
        <v>35208.75</v>
      </c>
      <c r="O1262" s="30">
        <f t="shared" si="161"/>
        <v>35208.75</v>
      </c>
      <c r="P1262" s="22">
        <f>SUM(P1259:P1261)</f>
        <v>358020.83</v>
      </c>
    </row>
    <row r="1263" ht="14.25" customHeight="1">
      <c r="C1263" s="10"/>
    </row>
    <row r="1264" spans="1:3" ht="14.25" customHeight="1">
      <c r="A1264" s="14">
        <f>+A1258+1</f>
        <v>100</v>
      </c>
      <c r="C1264" s="5" t="s">
        <v>359</v>
      </c>
    </row>
    <row r="1265" spans="3:16" ht="14.25" customHeight="1">
      <c r="C1265" s="4" t="s">
        <v>3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9">
        <v>0</v>
      </c>
      <c r="P1265" s="21">
        <f>SUM(D1265:O1265)</f>
        <v>0</v>
      </c>
    </row>
    <row r="1266" spans="3:16" ht="14.25" customHeight="1">
      <c r="C1266" s="4" t="s">
        <v>4</v>
      </c>
      <c r="D1266" s="48"/>
      <c r="E1266" s="48"/>
      <c r="F1266" s="48"/>
      <c r="G1266" s="48">
        <v>187.5</v>
      </c>
      <c r="P1266" s="21">
        <f>SUM(D1266:O1266)</f>
        <v>187.5</v>
      </c>
    </row>
    <row r="1267" spans="3:16" ht="14.25" customHeight="1" thickBot="1">
      <c r="C1267" s="4" t="s">
        <v>5</v>
      </c>
      <c r="D1267" s="21">
        <v>0</v>
      </c>
      <c r="E1267" s="45">
        <v>0</v>
      </c>
      <c r="F1267" s="45">
        <v>0</v>
      </c>
      <c r="G1267" s="21">
        <v>66893.27</v>
      </c>
      <c r="H1267" s="21">
        <v>66893.27</v>
      </c>
      <c r="I1267" s="21">
        <v>64735.42</v>
      </c>
      <c r="J1267" s="21">
        <v>64735.42</v>
      </c>
      <c r="K1267" s="21">
        <v>64735.42</v>
      </c>
      <c r="L1267" s="21">
        <v>64735.42</v>
      </c>
      <c r="M1267" s="21">
        <v>64735.42</v>
      </c>
      <c r="N1267" s="21">
        <v>64735.42</v>
      </c>
      <c r="O1267" s="29">
        <v>64735.42</v>
      </c>
      <c r="P1267" s="21">
        <f>SUM(D1267:O1267)</f>
        <v>586934.48</v>
      </c>
    </row>
    <row r="1268" spans="3:16" ht="14.25" customHeight="1" thickBot="1">
      <c r="C1268" s="6" t="s">
        <v>292</v>
      </c>
      <c r="D1268" s="22">
        <f>SUM(D1265:D1267)</f>
        <v>0</v>
      </c>
      <c r="E1268" s="22">
        <f aca="true" t="shared" si="162" ref="E1268:O1268">SUM(E1265:E1267)</f>
        <v>0</v>
      </c>
      <c r="F1268" s="22">
        <f t="shared" si="162"/>
        <v>0</v>
      </c>
      <c r="G1268" s="22">
        <f t="shared" si="162"/>
        <v>67080.77</v>
      </c>
      <c r="H1268" s="22">
        <f t="shared" si="162"/>
        <v>66893.27</v>
      </c>
      <c r="I1268" s="22">
        <f t="shared" si="162"/>
        <v>64735.42</v>
      </c>
      <c r="J1268" s="22">
        <f t="shared" si="162"/>
        <v>64735.42</v>
      </c>
      <c r="K1268" s="22">
        <f t="shared" si="162"/>
        <v>64735.42</v>
      </c>
      <c r="L1268" s="22">
        <f t="shared" si="162"/>
        <v>64735.42</v>
      </c>
      <c r="M1268" s="22">
        <f t="shared" si="162"/>
        <v>64735.42</v>
      </c>
      <c r="N1268" s="22">
        <f t="shared" si="162"/>
        <v>64735.42</v>
      </c>
      <c r="O1268" s="30">
        <f t="shared" si="162"/>
        <v>64735.42</v>
      </c>
      <c r="P1268" s="22">
        <f>SUM(P1265:P1267)</f>
        <v>587121.98</v>
      </c>
    </row>
    <row r="1269" ht="14.25" customHeight="1">
      <c r="C1269" s="10"/>
    </row>
    <row r="1270" spans="1:3" ht="14.25" customHeight="1">
      <c r="A1270" s="14">
        <f>+A1264+1</f>
        <v>101</v>
      </c>
      <c r="C1270" s="5" t="s">
        <v>360</v>
      </c>
    </row>
    <row r="1271" spans="3:16" ht="14.25" customHeight="1">
      <c r="C1271" s="4" t="s">
        <v>3</v>
      </c>
      <c r="D1271" s="21">
        <v>0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9">
        <v>0</v>
      </c>
      <c r="P1271" s="21">
        <f>SUM(D1271:O1271)</f>
        <v>0</v>
      </c>
    </row>
    <row r="1272" spans="3:16" ht="14.25" customHeight="1">
      <c r="C1272" s="4" t="s">
        <v>4</v>
      </c>
      <c r="D1272" s="48"/>
      <c r="E1272" s="48"/>
      <c r="F1272" s="48"/>
      <c r="G1272" s="48">
        <v>187.5</v>
      </c>
      <c r="P1272" s="21">
        <f>SUM(D1272:O1272)</f>
        <v>187.5</v>
      </c>
    </row>
    <row r="1273" spans="3:16" ht="14.25" customHeight="1" thickBot="1">
      <c r="C1273" s="4" t="s">
        <v>5</v>
      </c>
      <c r="D1273" s="21">
        <v>0</v>
      </c>
      <c r="E1273" s="45">
        <v>0</v>
      </c>
      <c r="F1273" s="45">
        <v>0</v>
      </c>
      <c r="G1273" s="21">
        <f>26666.67+14667.68</f>
        <v>41334.35</v>
      </c>
      <c r="H1273" s="21">
        <f>26666.67+14667.68</f>
        <v>41334.35</v>
      </c>
      <c r="I1273" s="21">
        <f>26666.66+14667.68</f>
        <v>41334.34</v>
      </c>
      <c r="J1273" s="21">
        <f>25000+14309.17</f>
        <v>39309.17</v>
      </c>
      <c r="K1273" s="21">
        <f>25000+14309.17</f>
        <v>39309.17</v>
      </c>
      <c r="L1273" s="21">
        <f>25000+14309.16</f>
        <v>39309.16</v>
      </c>
      <c r="M1273" s="21">
        <f>20000+14124.17</f>
        <v>34124.17</v>
      </c>
      <c r="N1273" s="21">
        <f>20000+14124.17</f>
        <v>34124.17</v>
      </c>
      <c r="O1273" s="29">
        <f>20000+14124.16</f>
        <v>34124.16</v>
      </c>
      <c r="P1273" s="21">
        <f>SUM(D1273:O1273)</f>
        <v>344303.04000000004</v>
      </c>
    </row>
    <row r="1274" spans="3:16" ht="14.25" customHeight="1" thickBot="1">
      <c r="C1274" s="6" t="s">
        <v>361</v>
      </c>
      <c r="D1274" s="22">
        <f>SUM(D1271:D1273)</f>
        <v>0</v>
      </c>
      <c r="E1274" s="22">
        <f aca="true" t="shared" si="163" ref="E1274:O1274">SUM(E1271:E1273)</f>
        <v>0</v>
      </c>
      <c r="F1274" s="22">
        <f t="shared" si="163"/>
        <v>0</v>
      </c>
      <c r="G1274" s="22">
        <f t="shared" si="163"/>
        <v>41521.85</v>
      </c>
      <c r="H1274" s="22">
        <f t="shared" si="163"/>
        <v>41334.35</v>
      </c>
      <c r="I1274" s="22">
        <f t="shared" si="163"/>
        <v>41334.34</v>
      </c>
      <c r="J1274" s="22">
        <f t="shared" si="163"/>
        <v>39309.17</v>
      </c>
      <c r="K1274" s="22">
        <f t="shared" si="163"/>
        <v>39309.17</v>
      </c>
      <c r="L1274" s="22">
        <f t="shared" si="163"/>
        <v>39309.16</v>
      </c>
      <c r="M1274" s="22">
        <f t="shared" si="163"/>
        <v>34124.17</v>
      </c>
      <c r="N1274" s="22">
        <f t="shared" si="163"/>
        <v>34124.17</v>
      </c>
      <c r="O1274" s="30">
        <f t="shared" si="163"/>
        <v>34124.16</v>
      </c>
      <c r="P1274" s="22">
        <f>SUM(P1271:P1273)</f>
        <v>344490.54000000004</v>
      </c>
    </row>
    <row r="1275" ht="14.25" customHeight="1">
      <c r="C1275" s="10"/>
    </row>
    <row r="1276" spans="1:3" ht="14.25" customHeight="1">
      <c r="A1276" s="14">
        <f>+A1270+1</f>
        <v>102</v>
      </c>
      <c r="C1276" s="5" t="s">
        <v>364</v>
      </c>
    </row>
    <row r="1277" spans="3:16" ht="14.25" customHeight="1">
      <c r="C1277" s="4" t="s">
        <v>3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9">
        <v>0</v>
      </c>
      <c r="P1277" s="21">
        <f>SUM(D1277:O1277)</f>
        <v>0</v>
      </c>
    </row>
    <row r="1278" spans="3:16" ht="14.25" customHeight="1">
      <c r="C1278" s="4" t="s">
        <v>4</v>
      </c>
      <c r="D1278" s="48"/>
      <c r="E1278" s="48"/>
      <c r="F1278" s="48"/>
      <c r="G1278" s="48"/>
      <c r="H1278" s="32">
        <v>166.67</v>
      </c>
      <c r="P1278" s="21">
        <f>SUM(D1278:O1278)</f>
        <v>166.67</v>
      </c>
    </row>
    <row r="1279" spans="3:16" ht="14.25" customHeight="1" thickBot="1">
      <c r="C1279" s="4" t="s">
        <v>5</v>
      </c>
      <c r="D1279" s="21">
        <v>0</v>
      </c>
      <c r="E1279" s="45">
        <v>0</v>
      </c>
      <c r="F1279" s="45">
        <v>0</v>
      </c>
      <c r="G1279" s="21">
        <v>0</v>
      </c>
      <c r="H1279" s="21">
        <v>0</v>
      </c>
      <c r="I1279" s="21">
        <v>0</v>
      </c>
      <c r="J1279" s="21">
        <v>104333.33</v>
      </c>
      <c r="K1279" s="21">
        <v>104333.33</v>
      </c>
      <c r="L1279" s="21">
        <v>104333.33</v>
      </c>
      <c r="M1279" s="21">
        <v>104333.33</v>
      </c>
      <c r="N1279" s="21">
        <v>104333.33</v>
      </c>
      <c r="O1279" s="29">
        <v>104333.35</v>
      </c>
      <c r="P1279" s="21">
        <f>SUM(D1279:O1279)</f>
        <v>626000</v>
      </c>
    </row>
    <row r="1280" spans="3:16" ht="14.25" customHeight="1" thickBot="1">
      <c r="C1280" s="6" t="s">
        <v>365</v>
      </c>
      <c r="D1280" s="22">
        <f>SUM(D1277:D1279)</f>
        <v>0</v>
      </c>
      <c r="E1280" s="22">
        <f aca="true" t="shared" si="164" ref="E1280:O1280">SUM(E1277:E1279)</f>
        <v>0</v>
      </c>
      <c r="F1280" s="22">
        <f t="shared" si="164"/>
        <v>0</v>
      </c>
      <c r="G1280" s="22">
        <f t="shared" si="164"/>
        <v>0</v>
      </c>
      <c r="H1280" s="22">
        <f t="shared" si="164"/>
        <v>166.67</v>
      </c>
      <c r="I1280" s="22">
        <f t="shared" si="164"/>
        <v>0</v>
      </c>
      <c r="J1280" s="22">
        <f t="shared" si="164"/>
        <v>104333.33</v>
      </c>
      <c r="K1280" s="22">
        <f t="shared" si="164"/>
        <v>104333.33</v>
      </c>
      <c r="L1280" s="22">
        <f t="shared" si="164"/>
        <v>104333.33</v>
      </c>
      <c r="M1280" s="22">
        <f t="shared" si="164"/>
        <v>104333.33</v>
      </c>
      <c r="N1280" s="22">
        <f t="shared" si="164"/>
        <v>104333.33</v>
      </c>
      <c r="O1280" s="30">
        <f t="shared" si="164"/>
        <v>104333.35</v>
      </c>
      <c r="P1280" s="22">
        <f>SUM(P1277:P1279)</f>
        <v>626166.67</v>
      </c>
    </row>
    <row r="1281" ht="14.25" customHeight="1">
      <c r="C1281" s="10"/>
    </row>
    <row r="1282" spans="1:3" ht="14.25" customHeight="1">
      <c r="A1282" s="14">
        <f>+A1276+1</f>
        <v>103</v>
      </c>
      <c r="C1282" s="5" t="s">
        <v>366</v>
      </c>
    </row>
    <row r="1283" spans="3:16" ht="14.25" customHeight="1">
      <c r="C1283" s="4" t="s">
        <v>3</v>
      </c>
      <c r="D1283" s="21">
        <v>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9">
        <v>0</v>
      </c>
      <c r="P1283" s="21">
        <f>SUM(D1283:O1283)</f>
        <v>0</v>
      </c>
    </row>
    <row r="1284" spans="3:16" ht="14.25" customHeight="1">
      <c r="C1284" s="4" t="s">
        <v>4</v>
      </c>
      <c r="D1284" s="48"/>
      <c r="E1284" s="48"/>
      <c r="F1284" s="48"/>
      <c r="G1284" s="48"/>
      <c r="J1284" s="48">
        <v>125</v>
      </c>
      <c r="P1284" s="21">
        <f>SUM(D1284:O1284)</f>
        <v>125</v>
      </c>
    </row>
    <row r="1285" spans="3:16" ht="14.25" customHeight="1" thickBot="1">
      <c r="C1285" s="4" t="s">
        <v>5</v>
      </c>
      <c r="D1285" s="21">
        <v>0</v>
      </c>
      <c r="E1285" s="45">
        <v>0</v>
      </c>
      <c r="F1285" s="45">
        <v>0</v>
      </c>
      <c r="G1285" s="21">
        <v>0</v>
      </c>
      <c r="H1285" s="21">
        <v>0</v>
      </c>
      <c r="I1285" s="21">
        <v>0</v>
      </c>
      <c r="J1285" s="21">
        <f>11666.67+93467.99</f>
        <v>105134.66</v>
      </c>
      <c r="K1285" s="21">
        <f>11666.67+93467.99</f>
        <v>105134.66</v>
      </c>
      <c r="L1285" s="21">
        <f>11666.67+93467.99</f>
        <v>105134.66</v>
      </c>
      <c r="M1285" s="21">
        <f>11666.67+93467.99</f>
        <v>105134.66</v>
      </c>
      <c r="N1285" s="21">
        <f>11666.67+93467.99</f>
        <v>105134.66</v>
      </c>
      <c r="O1285" s="29">
        <f>11666.65+93467.96</f>
        <v>105134.61</v>
      </c>
      <c r="P1285" s="21">
        <f>SUM(D1285:O1285)</f>
        <v>630807.91</v>
      </c>
    </row>
    <row r="1286" spans="3:16" ht="14.25" customHeight="1" thickBot="1">
      <c r="C1286" s="6" t="s">
        <v>367</v>
      </c>
      <c r="D1286" s="22">
        <f>SUM(D1283:D1285)</f>
        <v>0</v>
      </c>
      <c r="E1286" s="22">
        <f aca="true" t="shared" si="165" ref="E1286:O1286">SUM(E1283:E1285)</f>
        <v>0</v>
      </c>
      <c r="F1286" s="22">
        <f t="shared" si="165"/>
        <v>0</v>
      </c>
      <c r="G1286" s="22">
        <f t="shared" si="165"/>
        <v>0</v>
      </c>
      <c r="H1286" s="22">
        <f t="shared" si="165"/>
        <v>0</v>
      </c>
      <c r="I1286" s="22">
        <f t="shared" si="165"/>
        <v>0</v>
      </c>
      <c r="J1286" s="22">
        <f t="shared" si="165"/>
        <v>105259.66</v>
      </c>
      <c r="K1286" s="22">
        <f t="shared" si="165"/>
        <v>105134.66</v>
      </c>
      <c r="L1286" s="22">
        <f t="shared" si="165"/>
        <v>105134.66</v>
      </c>
      <c r="M1286" s="22">
        <f t="shared" si="165"/>
        <v>105134.66</v>
      </c>
      <c r="N1286" s="22">
        <f t="shared" si="165"/>
        <v>105134.66</v>
      </c>
      <c r="O1286" s="30">
        <f t="shared" si="165"/>
        <v>105134.61</v>
      </c>
      <c r="P1286" s="22">
        <f>SUM(P1283:P1285)</f>
        <v>630932.91</v>
      </c>
    </row>
    <row r="1287" ht="14.25" customHeight="1">
      <c r="C1287" s="10"/>
    </row>
    <row r="1288" spans="1:3" ht="14.25" customHeight="1">
      <c r="A1288" s="14">
        <f>+A1282+1</f>
        <v>104</v>
      </c>
      <c r="C1288" s="5" t="s">
        <v>368</v>
      </c>
    </row>
    <row r="1289" spans="3:16" ht="14.25" customHeight="1">
      <c r="C1289" s="4" t="s">
        <v>3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9">
        <v>0</v>
      </c>
      <c r="P1289" s="21">
        <f>SUM(D1289:O1289)</f>
        <v>0</v>
      </c>
    </row>
    <row r="1290" spans="3:16" ht="14.25" customHeight="1">
      <c r="C1290" s="4" t="s">
        <v>4</v>
      </c>
      <c r="D1290" s="48"/>
      <c r="E1290" s="48"/>
      <c r="F1290" s="48"/>
      <c r="G1290" s="48"/>
      <c r="J1290" s="48">
        <v>125</v>
      </c>
      <c r="P1290" s="21">
        <f>SUM(D1290:O1290)</f>
        <v>125</v>
      </c>
    </row>
    <row r="1291" spans="3:16" ht="14.25" customHeight="1" thickBot="1">
      <c r="C1291" s="4" t="s">
        <v>5</v>
      </c>
      <c r="D1291" s="21">
        <v>0</v>
      </c>
      <c r="E1291" s="45">
        <v>0</v>
      </c>
      <c r="F1291" s="45">
        <v>0</v>
      </c>
      <c r="G1291" s="21">
        <v>0</v>
      </c>
      <c r="H1291" s="21">
        <v>0</v>
      </c>
      <c r="I1291" s="21">
        <v>0</v>
      </c>
      <c r="J1291" s="21">
        <f>8000+13856.32</f>
        <v>21856.32</v>
      </c>
      <c r="K1291" s="21">
        <f>8000+13856.32</f>
        <v>21856.32</v>
      </c>
      <c r="L1291" s="21">
        <f>8000+13856.32</f>
        <v>21856.32</v>
      </c>
      <c r="M1291" s="21">
        <f>8000+13856.32</f>
        <v>21856.32</v>
      </c>
      <c r="N1291" s="21">
        <f>8000+13856.32</f>
        <v>21856.32</v>
      </c>
      <c r="O1291" s="29">
        <f>7083.33+11970</f>
        <v>19053.33</v>
      </c>
      <c r="P1291" s="21">
        <f>SUM(D1291:O1291)</f>
        <v>128334.93000000001</v>
      </c>
    </row>
    <row r="1292" spans="3:16" ht="14.25" customHeight="1" thickBot="1">
      <c r="C1292" s="6" t="s">
        <v>369</v>
      </c>
      <c r="D1292" s="22">
        <f>SUM(D1289:D1291)</f>
        <v>0</v>
      </c>
      <c r="E1292" s="22">
        <f aca="true" t="shared" si="166" ref="E1292:O1292">SUM(E1289:E1291)</f>
        <v>0</v>
      </c>
      <c r="F1292" s="22">
        <f t="shared" si="166"/>
        <v>0</v>
      </c>
      <c r="G1292" s="22">
        <f t="shared" si="166"/>
        <v>0</v>
      </c>
      <c r="H1292" s="22">
        <f t="shared" si="166"/>
        <v>0</v>
      </c>
      <c r="I1292" s="22">
        <f t="shared" si="166"/>
        <v>0</v>
      </c>
      <c r="J1292" s="22">
        <f t="shared" si="166"/>
        <v>21981.32</v>
      </c>
      <c r="K1292" s="22">
        <f t="shared" si="166"/>
        <v>21856.32</v>
      </c>
      <c r="L1292" s="22">
        <f t="shared" si="166"/>
        <v>21856.32</v>
      </c>
      <c r="M1292" s="22">
        <f t="shared" si="166"/>
        <v>21856.32</v>
      </c>
      <c r="N1292" s="22">
        <f t="shared" si="166"/>
        <v>21856.32</v>
      </c>
      <c r="O1292" s="30">
        <f t="shared" si="166"/>
        <v>19053.33</v>
      </c>
      <c r="P1292" s="22">
        <f>SUM(P1289:P1291)</f>
        <v>128459.93000000001</v>
      </c>
    </row>
    <row r="1293" ht="14.25" customHeight="1">
      <c r="C1293" s="10"/>
    </row>
    <row r="1294" spans="1:3" ht="14.25" customHeight="1">
      <c r="A1294" s="14">
        <f>+A1288+1</f>
        <v>105</v>
      </c>
      <c r="C1294" s="5" t="s">
        <v>370</v>
      </c>
    </row>
    <row r="1295" spans="3:16" ht="14.25" customHeight="1">
      <c r="C1295" s="4" t="s">
        <v>3</v>
      </c>
      <c r="D1295" s="21">
        <v>0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9">
        <v>0</v>
      </c>
      <c r="P1295" s="21">
        <f>SUM(D1295:O1295)</f>
        <v>0</v>
      </c>
    </row>
    <row r="1296" spans="3:16" ht="14.25" customHeight="1">
      <c r="C1296" s="4" t="s">
        <v>4</v>
      </c>
      <c r="D1296" s="48"/>
      <c r="E1296" s="48"/>
      <c r="F1296" s="48"/>
      <c r="G1296" s="48"/>
      <c r="J1296" s="48"/>
      <c r="K1296" s="48">
        <v>104.17</v>
      </c>
      <c r="P1296" s="21">
        <f>SUM(D1296:O1296)</f>
        <v>104.17</v>
      </c>
    </row>
    <row r="1297" spans="3:16" ht="14.25" customHeight="1" thickBot="1">
      <c r="C1297" s="4" t="s">
        <v>5</v>
      </c>
      <c r="D1297" s="21">
        <v>0</v>
      </c>
      <c r="E1297" s="45">
        <v>0</v>
      </c>
      <c r="F1297" s="45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9">
        <v>0</v>
      </c>
      <c r="P1297" s="21">
        <f>SUM(D1297:O1297)</f>
        <v>0</v>
      </c>
    </row>
    <row r="1298" spans="3:16" ht="14.25" customHeight="1" thickBot="1">
      <c r="C1298" s="6" t="s">
        <v>192</v>
      </c>
      <c r="D1298" s="22">
        <f>SUM(D1295:D1297)</f>
        <v>0</v>
      </c>
      <c r="E1298" s="22">
        <f aca="true" t="shared" si="167" ref="E1298:O1298">SUM(E1295:E1297)</f>
        <v>0</v>
      </c>
      <c r="F1298" s="22">
        <f t="shared" si="167"/>
        <v>0</v>
      </c>
      <c r="G1298" s="22">
        <f t="shared" si="167"/>
        <v>0</v>
      </c>
      <c r="H1298" s="22">
        <f t="shared" si="167"/>
        <v>0</v>
      </c>
      <c r="I1298" s="22">
        <f t="shared" si="167"/>
        <v>0</v>
      </c>
      <c r="J1298" s="22">
        <f t="shared" si="167"/>
        <v>0</v>
      </c>
      <c r="K1298" s="22">
        <f t="shared" si="167"/>
        <v>104.17</v>
      </c>
      <c r="L1298" s="22">
        <f t="shared" si="167"/>
        <v>0</v>
      </c>
      <c r="M1298" s="22">
        <f t="shared" si="167"/>
        <v>0</v>
      </c>
      <c r="N1298" s="22">
        <f t="shared" si="167"/>
        <v>0</v>
      </c>
      <c r="O1298" s="30">
        <f t="shared" si="167"/>
        <v>0</v>
      </c>
      <c r="P1298" s="22">
        <f>SUM(P1295:P1297)</f>
        <v>104.17</v>
      </c>
    </row>
    <row r="1299" ht="14.25" customHeight="1">
      <c r="C1299" s="10"/>
    </row>
    <row r="1300" spans="1:3" ht="14.25" customHeight="1">
      <c r="A1300" s="14">
        <f>+A1294+1</f>
        <v>106</v>
      </c>
      <c r="C1300" s="5" t="s">
        <v>371</v>
      </c>
    </row>
    <row r="1301" spans="3:16" ht="14.25" customHeight="1">
      <c r="C1301" s="4" t="s">
        <v>3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9">
        <v>0</v>
      </c>
      <c r="P1301" s="21">
        <f>SUM(D1301:O1301)</f>
        <v>0</v>
      </c>
    </row>
    <row r="1302" spans="3:16" ht="14.25" customHeight="1">
      <c r="C1302" s="4" t="s">
        <v>4</v>
      </c>
      <c r="D1302" s="48"/>
      <c r="E1302" s="48"/>
      <c r="F1302" s="48"/>
      <c r="G1302" s="48"/>
      <c r="J1302" s="48"/>
      <c r="K1302" s="48">
        <v>104.17</v>
      </c>
      <c r="P1302" s="21">
        <f>SUM(D1302:O1302)</f>
        <v>104.17</v>
      </c>
    </row>
    <row r="1303" spans="3:16" ht="14.25" customHeight="1" thickBot="1">
      <c r="C1303" s="4" t="s">
        <v>5</v>
      </c>
      <c r="D1303" s="21">
        <v>0</v>
      </c>
      <c r="E1303" s="45">
        <v>0</v>
      </c>
      <c r="F1303" s="45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9">
        <v>18902.14</v>
      </c>
      <c r="P1303" s="21">
        <f>SUM(D1303:O1303)</f>
        <v>18902.14</v>
      </c>
    </row>
    <row r="1304" spans="3:16" ht="14.25" customHeight="1" thickBot="1">
      <c r="C1304" s="6" t="s">
        <v>298</v>
      </c>
      <c r="D1304" s="22">
        <f>SUM(D1301:D1303)</f>
        <v>0</v>
      </c>
      <c r="E1304" s="22">
        <f aca="true" t="shared" si="168" ref="E1304:O1304">SUM(E1301:E1303)</f>
        <v>0</v>
      </c>
      <c r="F1304" s="22">
        <f t="shared" si="168"/>
        <v>0</v>
      </c>
      <c r="G1304" s="22">
        <f t="shared" si="168"/>
        <v>0</v>
      </c>
      <c r="H1304" s="22">
        <f t="shared" si="168"/>
        <v>0</v>
      </c>
      <c r="I1304" s="22">
        <f t="shared" si="168"/>
        <v>0</v>
      </c>
      <c r="J1304" s="22">
        <f t="shared" si="168"/>
        <v>0</v>
      </c>
      <c r="K1304" s="22">
        <f t="shared" si="168"/>
        <v>104.17</v>
      </c>
      <c r="L1304" s="22">
        <f t="shared" si="168"/>
        <v>0</v>
      </c>
      <c r="M1304" s="22">
        <f t="shared" si="168"/>
        <v>0</v>
      </c>
      <c r="N1304" s="22">
        <f t="shared" si="168"/>
        <v>0</v>
      </c>
      <c r="O1304" s="30">
        <f t="shared" si="168"/>
        <v>18902.14</v>
      </c>
      <c r="P1304" s="22">
        <f>SUM(P1301:P1303)</f>
        <v>19006.309999999998</v>
      </c>
    </row>
    <row r="1305" spans="3:16" ht="14.25" customHeight="1">
      <c r="C1305" s="10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7"/>
      <c r="P1305" s="46"/>
    </row>
    <row r="1306" spans="1:3" ht="14.25" customHeight="1">
      <c r="A1306" s="14">
        <f>+A1300+1</f>
        <v>107</v>
      </c>
      <c r="C1306" s="5" t="s">
        <v>372</v>
      </c>
    </row>
    <row r="1307" spans="3:16" ht="14.25" customHeight="1">
      <c r="C1307" s="4" t="s">
        <v>3</v>
      </c>
      <c r="D1307" s="21">
        <v>0</v>
      </c>
      <c r="E1307" s="21">
        <v>0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9">
        <v>0</v>
      </c>
      <c r="P1307" s="21">
        <f>SUM(D1307:O1307)</f>
        <v>0</v>
      </c>
    </row>
    <row r="1308" spans="3:16" ht="14.25" customHeight="1">
      <c r="C1308" s="4" t="s">
        <v>4</v>
      </c>
      <c r="D1308" s="48"/>
      <c r="E1308" s="48"/>
      <c r="F1308" s="48"/>
      <c r="G1308" s="48"/>
      <c r="J1308" s="48"/>
      <c r="K1308" s="48"/>
      <c r="L1308" s="48">
        <v>83.33</v>
      </c>
      <c r="P1308" s="21">
        <f>SUM(D1308:O1308)</f>
        <v>83.33</v>
      </c>
    </row>
    <row r="1309" spans="3:16" ht="14.25" customHeight="1" thickBot="1">
      <c r="C1309" s="4" t="s">
        <v>5</v>
      </c>
      <c r="D1309" s="21">
        <v>0</v>
      </c>
      <c r="E1309" s="45">
        <v>0</v>
      </c>
      <c r="F1309" s="45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f>10000+14556.31-16127.38</f>
        <v>8428.929999999998</v>
      </c>
      <c r="M1309" s="21">
        <f>10000+14048.25</f>
        <v>24048.25</v>
      </c>
      <c r="N1309" s="21">
        <f>10000+14476.74</f>
        <v>24476.739999999998</v>
      </c>
      <c r="O1309" s="29">
        <f>10000+13971.25</f>
        <v>23971.25</v>
      </c>
      <c r="P1309" s="21">
        <f>SUM(D1309:O1309)</f>
        <v>80925.17</v>
      </c>
    </row>
    <row r="1310" spans="3:16" ht="14.25" customHeight="1" thickBot="1">
      <c r="C1310" s="6" t="s">
        <v>108</v>
      </c>
      <c r="D1310" s="22">
        <f>SUM(D1307:D1309)</f>
        <v>0</v>
      </c>
      <c r="E1310" s="22">
        <f aca="true" t="shared" si="169" ref="E1310:O1310">SUM(E1307:E1309)</f>
        <v>0</v>
      </c>
      <c r="F1310" s="22">
        <f t="shared" si="169"/>
        <v>0</v>
      </c>
      <c r="G1310" s="22">
        <f t="shared" si="169"/>
        <v>0</v>
      </c>
      <c r="H1310" s="22">
        <f t="shared" si="169"/>
        <v>0</v>
      </c>
      <c r="I1310" s="22">
        <f t="shared" si="169"/>
        <v>0</v>
      </c>
      <c r="J1310" s="22">
        <f t="shared" si="169"/>
        <v>0</v>
      </c>
      <c r="K1310" s="22">
        <f t="shared" si="169"/>
        <v>0</v>
      </c>
      <c r="L1310" s="22">
        <f t="shared" si="169"/>
        <v>8512.259999999998</v>
      </c>
      <c r="M1310" s="22">
        <f t="shared" si="169"/>
        <v>24048.25</v>
      </c>
      <c r="N1310" s="22">
        <f t="shared" si="169"/>
        <v>24476.739999999998</v>
      </c>
      <c r="O1310" s="30">
        <f t="shared" si="169"/>
        <v>23971.25</v>
      </c>
      <c r="P1310" s="22">
        <f>SUM(P1307:P1309)</f>
        <v>81008.5</v>
      </c>
    </row>
    <row r="1311" spans="3:16" ht="14.25" customHeight="1">
      <c r="C1311" s="10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7"/>
      <c r="P1311" s="46"/>
    </row>
    <row r="1312" spans="1:3" ht="14.25" customHeight="1">
      <c r="A1312" s="14">
        <f>+A1306+1</f>
        <v>108</v>
      </c>
      <c r="C1312" s="5" t="s">
        <v>373</v>
      </c>
    </row>
    <row r="1313" spans="3:16" ht="14.25" customHeight="1">
      <c r="C1313" s="4" t="s">
        <v>3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f>1712.38+1712.38</f>
        <v>3424.76</v>
      </c>
      <c r="N1313" s="21">
        <f>1615-194.76</f>
        <v>1420.24</v>
      </c>
      <c r="O1313" s="29">
        <v>1615</v>
      </c>
      <c r="P1313" s="21">
        <f>SUM(D1313:O1313)</f>
        <v>6460</v>
      </c>
    </row>
    <row r="1314" spans="3:16" ht="14.25" customHeight="1">
      <c r="C1314" s="4" t="s">
        <v>4</v>
      </c>
      <c r="D1314" s="48"/>
      <c r="E1314" s="48"/>
      <c r="F1314" s="48"/>
      <c r="G1314" s="48"/>
      <c r="J1314" s="48"/>
      <c r="K1314" s="48"/>
      <c r="L1314" s="48">
        <v>83.33</v>
      </c>
      <c r="P1314" s="21">
        <f>SUM(D1314:O1314)</f>
        <v>83.33</v>
      </c>
    </row>
    <row r="1315" spans="3:16" ht="14.25" customHeight="1" thickBot="1">
      <c r="C1315" s="4" t="s">
        <v>5</v>
      </c>
      <c r="D1315" s="21">
        <v>0</v>
      </c>
      <c r="E1315" s="45">
        <v>0</v>
      </c>
      <c r="F1315" s="45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62506.48</v>
      </c>
      <c r="M1315" s="21">
        <v>62506.48</v>
      </c>
      <c r="N1315" s="21">
        <v>62506.48</v>
      </c>
      <c r="O1315" s="29">
        <v>59216.67</v>
      </c>
      <c r="P1315" s="21">
        <f>SUM(D1315:O1315)</f>
        <v>246736.11</v>
      </c>
    </row>
    <row r="1316" spans="3:16" ht="14.25" customHeight="1" thickBot="1">
      <c r="C1316" s="6" t="s">
        <v>128</v>
      </c>
      <c r="D1316" s="22">
        <f>SUM(D1313:D1315)</f>
        <v>0</v>
      </c>
      <c r="E1316" s="22">
        <f aca="true" t="shared" si="170" ref="E1316:O1316">SUM(E1313:E1315)</f>
        <v>0</v>
      </c>
      <c r="F1316" s="22">
        <f t="shared" si="170"/>
        <v>0</v>
      </c>
      <c r="G1316" s="22">
        <f t="shared" si="170"/>
        <v>0</v>
      </c>
      <c r="H1316" s="22">
        <f t="shared" si="170"/>
        <v>0</v>
      </c>
      <c r="I1316" s="22">
        <f t="shared" si="170"/>
        <v>0</v>
      </c>
      <c r="J1316" s="22">
        <f t="shared" si="170"/>
        <v>0</v>
      </c>
      <c r="K1316" s="22">
        <f t="shared" si="170"/>
        <v>0</v>
      </c>
      <c r="L1316" s="22">
        <f t="shared" si="170"/>
        <v>62589.810000000005</v>
      </c>
      <c r="M1316" s="22">
        <f t="shared" si="170"/>
        <v>65931.24</v>
      </c>
      <c r="N1316" s="22">
        <f t="shared" si="170"/>
        <v>63926.72</v>
      </c>
      <c r="O1316" s="30">
        <f t="shared" si="170"/>
        <v>60831.67</v>
      </c>
      <c r="P1316" s="22">
        <f>SUM(P1313:P1315)</f>
        <v>253279.43999999997</v>
      </c>
    </row>
    <row r="1317" spans="3:16" ht="14.25" customHeight="1">
      <c r="C1317" s="10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7"/>
      <c r="P1317" s="46"/>
    </row>
    <row r="1318" spans="1:3" ht="14.25" customHeight="1">
      <c r="A1318" s="14">
        <f>+A1312+1</f>
        <v>109</v>
      </c>
      <c r="C1318" s="5" t="s">
        <v>374</v>
      </c>
    </row>
    <row r="1319" spans="3:16" ht="14.25" customHeight="1">
      <c r="C1319" s="4" t="s">
        <v>3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9">
        <v>0</v>
      </c>
      <c r="P1319" s="21">
        <f>SUM(D1319:O1319)</f>
        <v>0</v>
      </c>
    </row>
    <row r="1320" spans="3:16" ht="14.25" customHeight="1">
      <c r="C1320" s="4" t="s">
        <v>4</v>
      </c>
      <c r="D1320" s="48"/>
      <c r="E1320" s="48"/>
      <c r="F1320" s="48"/>
      <c r="G1320" s="48"/>
      <c r="J1320" s="48"/>
      <c r="K1320" s="48"/>
      <c r="L1320" s="48">
        <v>83.33</v>
      </c>
      <c r="P1320" s="21">
        <f>SUM(D1320:O1320)</f>
        <v>83.33</v>
      </c>
    </row>
    <row r="1321" spans="3:16" ht="14.25" customHeight="1" thickBot="1">
      <c r="C1321" s="4" t="s">
        <v>5</v>
      </c>
      <c r="D1321" s="21">
        <v>0</v>
      </c>
      <c r="E1321" s="45">
        <v>0</v>
      </c>
      <c r="F1321" s="45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2013.9</v>
      </c>
      <c r="M1321" s="21">
        <v>1059.95</v>
      </c>
      <c r="N1321" s="21">
        <v>1095.28</v>
      </c>
      <c r="O1321" s="29">
        <f>31420.08+24479.17</f>
        <v>55899.25</v>
      </c>
      <c r="P1321" s="21">
        <f>SUM(D1321:O1321)</f>
        <v>60068.38</v>
      </c>
    </row>
    <row r="1322" spans="3:16" ht="14.25" customHeight="1" thickBot="1">
      <c r="C1322" s="6" t="s">
        <v>375</v>
      </c>
      <c r="D1322" s="22">
        <f>SUM(D1319:D1321)</f>
        <v>0</v>
      </c>
      <c r="E1322" s="22">
        <f aca="true" t="shared" si="171" ref="E1322:O1322">SUM(E1319:E1321)</f>
        <v>0</v>
      </c>
      <c r="F1322" s="22">
        <f t="shared" si="171"/>
        <v>0</v>
      </c>
      <c r="G1322" s="22">
        <f t="shared" si="171"/>
        <v>0</v>
      </c>
      <c r="H1322" s="22">
        <f t="shared" si="171"/>
        <v>0</v>
      </c>
      <c r="I1322" s="22">
        <f t="shared" si="171"/>
        <v>0</v>
      </c>
      <c r="J1322" s="22">
        <f t="shared" si="171"/>
        <v>0</v>
      </c>
      <c r="K1322" s="22">
        <f t="shared" si="171"/>
        <v>0</v>
      </c>
      <c r="L1322" s="22">
        <f t="shared" si="171"/>
        <v>2097.23</v>
      </c>
      <c r="M1322" s="22">
        <f t="shared" si="171"/>
        <v>1059.95</v>
      </c>
      <c r="N1322" s="22">
        <f t="shared" si="171"/>
        <v>1095.28</v>
      </c>
      <c r="O1322" s="30">
        <f t="shared" si="171"/>
        <v>55899.25</v>
      </c>
      <c r="P1322" s="22">
        <f>SUM(P1319:P1321)</f>
        <v>60151.71</v>
      </c>
    </row>
    <row r="1323" spans="3:16" ht="14.25" customHeight="1">
      <c r="C1323" s="10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7"/>
      <c r="P1323" s="46"/>
    </row>
    <row r="1324" spans="1:3" ht="14.25" customHeight="1">
      <c r="A1324" s="14">
        <f>+A1318+1</f>
        <v>110</v>
      </c>
      <c r="C1324" s="5" t="s">
        <v>376</v>
      </c>
    </row>
    <row r="1325" spans="3:16" ht="14.25" customHeight="1">
      <c r="C1325" s="4" t="s">
        <v>3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9">
        <v>0</v>
      </c>
      <c r="P1325" s="21">
        <f>SUM(D1325:O1325)</f>
        <v>0</v>
      </c>
    </row>
    <row r="1326" spans="3:16" ht="14.25" customHeight="1">
      <c r="C1326" s="4" t="s">
        <v>4</v>
      </c>
      <c r="D1326" s="48"/>
      <c r="E1326" s="48"/>
      <c r="F1326" s="48"/>
      <c r="G1326" s="48"/>
      <c r="J1326" s="48"/>
      <c r="K1326" s="48"/>
      <c r="L1326" s="48">
        <v>83.33</v>
      </c>
      <c r="P1326" s="21">
        <f>SUM(D1326:O1326)</f>
        <v>83.33</v>
      </c>
    </row>
    <row r="1327" spans="3:16" ht="14.25" customHeight="1" thickBot="1">
      <c r="C1327" s="4" t="s">
        <v>5</v>
      </c>
      <c r="D1327" s="21">
        <v>0</v>
      </c>
      <c r="E1327" s="45">
        <v>0</v>
      </c>
      <c r="F1327" s="45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f>2617.69+19566.52</f>
        <v>22184.21</v>
      </c>
      <c r="M1327" s="21">
        <f>15640.92+19614.79</f>
        <v>35255.71</v>
      </c>
      <c r="N1327" s="21">
        <f>15592.54+19663.17</f>
        <v>35255.71</v>
      </c>
      <c r="O1327" s="29">
        <f>15544.04+19711.67</f>
        <v>35255.71</v>
      </c>
      <c r="P1327" s="21">
        <f>SUM(D1327:O1327)</f>
        <v>127951.34</v>
      </c>
    </row>
    <row r="1328" spans="3:16" ht="14.25" customHeight="1" thickBot="1">
      <c r="C1328" s="6" t="s">
        <v>377</v>
      </c>
      <c r="D1328" s="22">
        <f>SUM(D1325:D1327)</f>
        <v>0</v>
      </c>
      <c r="E1328" s="22">
        <f aca="true" t="shared" si="172" ref="E1328:O1328">SUM(E1325:E1327)</f>
        <v>0</v>
      </c>
      <c r="F1328" s="22">
        <f t="shared" si="172"/>
        <v>0</v>
      </c>
      <c r="G1328" s="22">
        <f t="shared" si="172"/>
        <v>0</v>
      </c>
      <c r="H1328" s="22">
        <f t="shared" si="172"/>
        <v>0</v>
      </c>
      <c r="I1328" s="22">
        <f t="shared" si="172"/>
        <v>0</v>
      </c>
      <c r="J1328" s="22">
        <f t="shared" si="172"/>
        <v>0</v>
      </c>
      <c r="K1328" s="22">
        <f t="shared" si="172"/>
        <v>0</v>
      </c>
      <c r="L1328" s="22">
        <f t="shared" si="172"/>
        <v>22267.54</v>
      </c>
      <c r="M1328" s="22">
        <f t="shared" si="172"/>
        <v>35255.71</v>
      </c>
      <c r="N1328" s="22">
        <f t="shared" si="172"/>
        <v>35255.71</v>
      </c>
      <c r="O1328" s="30">
        <f t="shared" si="172"/>
        <v>35255.71</v>
      </c>
      <c r="P1328" s="22">
        <f>SUM(P1325:P1327)</f>
        <v>128034.67</v>
      </c>
    </row>
    <row r="1329" spans="3:16" ht="14.25" customHeight="1">
      <c r="C1329" s="10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7"/>
      <c r="P1329" s="46"/>
    </row>
    <row r="1330" spans="1:3" ht="14.25" customHeight="1">
      <c r="A1330" s="14">
        <f>+A1324+1</f>
        <v>111</v>
      </c>
      <c r="C1330" s="5" t="s">
        <v>378</v>
      </c>
    </row>
    <row r="1331" spans="3:16" ht="14.25" customHeight="1">
      <c r="C1331" s="4" t="s">
        <v>3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803.18</v>
      </c>
      <c r="O1331" s="29">
        <v>803.18</v>
      </c>
      <c r="P1331" s="21">
        <f>SUM(D1331:O1331)</f>
        <v>1606.36</v>
      </c>
    </row>
    <row r="1332" spans="3:16" ht="14.25" customHeight="1">
      <c r="C1332" s="4" t="s">
        <v>4</v>
      </c>
      <c r="D1332" s="48"/>
      <c r="E1332" s="48"/>
      <c r="F1332" s="48"/>
      <c r="G1332" s="48"/>
      <c r="J1332" s="48"/>
      <c r="K1332" s="48"/>
      <c r="L1332" s="48"/>
      <c r="N1332" s="48">
        <v>41.67</v>
      </c>
      <c r="P1332" s="21">
        <f>SUM(D1332:O1332)</f>
        <v>41.67</v>
      </c>
    </row>
    <row r="1333" spans="3:16" ht="14.25" customHeight="1" thickBot="1">
      <c r="C1333" s="4" t="s">
        <v>5</v>
      </c>
      <c r="D1333" s="21">
        <v>0</v>
      </c>
      <c r="E1333" s="45">
        <v>0</v>
      </c>
      <c r="F1333" s="45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f>17500+30758.71</f>
        <v>48258.71</v>
      </c>
      <c r="O1333" s="29">
        <f>17500+30758.71</f>
        <v>48258.71</v>
      </c>
      <c r="P1333" s="21">
        <f>SUM(D1333:O1333)</f>
        <v>96517.42</v>
      </c>
    </row>
    <row r="1334" spans="3:16" ht="14.25" customHeight="1" thickBot="1">
      <c r="C1334" s="6" t="s">
        <v>174</v>
      </c>
      <c r="D1334" s="22">
        <f>SUM(D1331:D1333)</f>
        <v>0</v>
      </c>
      <c r="E1334" s="22">
        <f aca="true" t="shared" si="173" ref="E1334:O1334">SUM(E1331:E1333)</f>
        <v>0</v>
      </c>
      <c r="F1334" s="22">
        <f t="shared" si="173"/>
        <v>0</v>
      </c>
      <c r="G1334" s="22">
        <f t="shared" si="173"/>
        <v>0</v>
      </c>
      <c r="H1334" s="22">
        <f t="shared" si="173"/>
        <v>0</v>
      </c>
      <c r="I1334" s="22">
        <f t="shared" si="173"/>
        <v>0</v>
      </c>
      <c r="J1334" s="22">
        <f t="shared" si="173"/>
        <v>0</v>
      </c>
      <c r="K1334" s="22">
        <f t="shared" si="173"/>
        <v>0</v>
      </c>
      <c r="L1334" s="22">
        <f t="shared" si="173"/>
        <v>0</v>
      </c>
      <c r="M1334" s="22">
        <f t="shared" si="173"/>
        <v>0</v>
      </c>
      <c r="N1334" s="22">
        <f t="shared" si="173"/>
        <v>49103.56</v>
      </c>
      <c r="O1334" s="30">
        <f t="shared" si="173"/>
        <v>49061.89</v>
      </c>
      <c r="P1334" s="22">
        <f>SUM(P1331:P1333)</f>
        <v>98165.45</v>
      </c>
    </row>
    <row r="1335" spans="3:16" ht="14.25" customHeight="1">
      <c r="C1335" s="10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7"/>
      <c r="P1335" s="46"/>
    </row>
    <row r="1336" spans="1:3" ht="14.25" customHeight="1">
      <c r="A1336" s="14">
        <f>+A1330+1</f>
        <v>112</v>
      </c>
      <c r="C1336" s="5" t="s">
        <v>379</v>
      </c>
    </row>
    <row r="1337" spans="3:16" ht="14.25" customHeight="1">
      <c r="C1337" s="4" t="s">
        <v>3</v>
      </c>
      <c r="D1337" s="21">
        <v>0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9">
        <v>0</v>
      </c>
      <c r="P1337" s="21">
        <f>SUM(D1337:O1337)</f>
        <v>0</v>
      </c>
    </row>
    <row r="1338" spans="3:16" ht="14.25" customHeight="1">
      <c r="C1338" s="4" t="s">
        <v>4</v>
      </c>
      <c r="D1338" s="48"/>
      <c r="E1338" s="48"/>
      <c r="F1338" s="48"/>
      <c r="G1338" s="48"/>
      <c r="J1338" s="48"/>
      <c r="K1338" s="48"/>
      <c r="L1338" s="48"/>
      <c r="N1338" s="48"/>
      <c r="O1338" s="50">
        <v>20.83</v>
      </c>
      <c r="P1338" s="21">
        <f>SUM(D1338:O1338)</f>
        <v>20.83</v>
      </c>
    </row>
    <row r="1339" spans="3:16" ht="14.25" customHeight="1" thickBot="1">
      <c r="C1339" s="4" t="s">
        <v>5</v>
      </c>
      <c r="D1339" s="21">
        <v>0</v>
      </c>
      <c r="E1339" s="45">
        <v>0</v>
      </c>
      <c r="F1339" s="45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9">
        <f>4950.19+20266.11-25216.3</f>
        <v>0</v>
      </c>
      <c r="P1339" s="21">
        <f>SUM(D1339:O1339)</f>
        <v>0</v>
      </c>
    </row>
    <row r="1340" spans="3:16" ht="14.25" customHeight="1" thickBot="1">
      <c r="C1340" s="6" t="s">
        <v>380</v>
      </c>
      <c r="D1340" s="22">
        <f>SUM(D1337:D1339)</f>
        <v>0</v>
      </c>
      <c r="E1340" s="22">
        <f aca="true" t="shared" si="174" ref="E1340:O1340">SUM(E1337:E1339)</f>
        <v>0</v>
      </c>
      <c r="F1340" s="22">
        <f t="shared" si="174"/>
        <v>0</v>
      </c>
      <c r="G1340" s="22">
        <f t="shared" si="174"/>
        <v>0</v>
      </c>
      <c r="H1340" s="22">
        <f t="shared" si="174"/>
        <v>0</v>
      </c>
      <c r="I1340" s="22">
        <f t="shared" si="174"/>
        <v>0</v>
      </c>
      <c r="J1340" s="22">
        <f t="shared" si="174"/>
        <v>0</v>
      </c>
      <c r="K1340" s="22">
        <f t="shared" si="174"/>
        <v>0</v>
      </c>
      <c r="L1340" s="22">
        <f t="shared" si="174"/>
        <v>0</v>
      </c>
      <c r="M1340" s="22">
        <f t="shared" si="174"/>
        <v>0</v>
      </c>
      <c r="N1340" s="22">
        <f t="shared" si="174"/>
        <v>0</v>
      </c>
      <c r="O1340" s="30">
        <f t="shared" si="174"/>
        <v>20.83</v>
      </c>
      <c r="P1340" s="22">
        <f>SUM(P1337:P1339)</f>
        <v>20.83</v>
      </c>
    </row>
    <row r="1341" spans="3:16" ht="14.25" customHeight="1">
      <c r="C1341" s="10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7"/>
      <c r="P1341" s="46"/>
    </row>
    <row r="1342" spans="1:3" ht="14.25" customHeight="1">
      <c r="A1342" s="14">
        <f>+A1336+1</f>
        <v>113</v>
      </c>
      <c r="C1342" s="5" t="s">
        <v>381</v>
      </c>
    </row>
    <row r="1343" spans="3:16" ht="14.25" customHeight="1">
      <c r="C1343" s="4" t="s">
        <v>3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9">
        <v>0</v>
      </c>
      <c r="P1343" s="21">
        <f>SUM(D1343:O1343)</f>
        <v>0</v>
      </c>
    </row>
    <row r="1344" spans="3:16" ht="14.25" customHeight="1">
      <c r="C1344" s="4" t="s">
        <v>4</v>
      </c>
      <c r="D1344" s="48"/>
      <c r="E1344" s="48"/>
      <c r="F1344" s="48"/>
      <c r="G1344" s="48"/>
      <c r="J1344" s="48"/>
      <c r="K1344" s="48"/>
      <c r="L1344" s="48"/>
      <c r="N1344" s="48"/>
      <c r="O1344" s="50">
        <v>20.83</v>
      </c>
      <c r="P1344" s="21">
        <f>SUM(D1344:O1344)</f>
        <v>20.83</v>
      </c>
    </row>
    <row r="1345" spans="3:16" ht="14.25" customHeight="1" thickBot="1">
      <c r="C1345" s="4" t="s">
        <v>5</v>
      </c>
      <c r="D1345" s="21">
        <v>0</v>
      </c>
      <c r="E1345" s="45">
        <v>0</v>
      </c>
      <c r="F1345" s="45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9">
        <v>87308</v>
      </c>
      <c r="P1345" s="21">
        <f>SUM(D1345:O1345)</f>
        <v>87308</v>
      </c>
    </row>
    <row r="1346" spans="3:16" ht="14.25" customHeight="1" thickBot="1">
      <c r="C1346" s="6" t="s">
        <v>382</v>
      </c>
      <c r="D1346" s="22">
        <f>SUM(D1343:D1345)</f>
        <v>0</v>
      </c>
      <c r="E1346" s="22">
        <f aca="true" t="shared" si="175" ref="E1346:P1346">SUM(E1343:E1345)</f>
        <v>0</v>
      </c>
      <c r="F1346" s="22">
        <f t="shared" si="175"/>
        <v>0</v>
      </c>
      <c r="G1346" s="22">
        <f t="shared" si="175"/>
        <v>0</v>
      </c>
      <c r="H1346" s="22">
        <f t="shared" si="175"/>
        <v>0</v>
      </c>
      <c r="I1346" s="22">
        <f t="shared" si="175"/>
        <v>0</v>
      </c>
      <c r="J1346" s="22">
        <f t="shared" si="175"/>
        <v>0</v>
      </c>
      <c r="K1346" s="22">
        <f t="shared" si="175"/>
        <v>0</v>
      </c>
      <c r="L1346" s="22">
        <f t="shared" si="175"/>
        <v>0</v>
      </c>
      <c r="M1346" s="22">
        <f t="shared" si="175"/>
        <v>0</v>
      </c>
      <c r="N1346" s="22">
        <f t="shared" si="175"/>
        <v>0</v>
      </c>
      <c r="O1346" s="30">
        <f t="shared" si="175"/>
        <v>87328.83</v>
      </c>
      <c r="P1346" s="22">
        <f t="shared" si="175"/>
        <v>87328.83</v>
      </c>
    </row>
    <row r="1347" spans="3:16" ht="14.25" customHeight="1">
      <c r="C1347" s="10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7"/>
      <c r="P1347" s="46"/>
    </row>
    <row r="1348" spans="3:16" ht="14.25" customHeight="1">
      <c r="C1348" s="10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7"/>
      <c r="P1348" s="46"/>
    </row>
    <row r="1349" ht="14.25" customHeight="1">
      <c r="C1349" s="5" t="s">
        <v>41</v>
      </c>
    </row>
    <row r="1350" spans="3:16" ht="14.25" customHeight="1">
      <c r="C1350" s="4" t="s">
        <v>195</v>
      </c>
      <c r="D1350" s="23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,D383,D389,D395,D401,D407,D413,D419,D425,D431,D437,D443,D449,D455,D461,D467,D473,D479,D485,D491,D497,D503,D509,D515,D521,D527,D533,D539)+SUM(D545,D551,D557,D563,D569,D575,D581,D587,D593,D599,D605,D611,D617,D623,D629,D635,D641,D647,D653,D659,D665,D671,D677,D683,D689)+SUM(D695,D701,D707,D713,D719,D725,D731,D737,D743,D749,D755,D761,D767,D773,D779,D785,D791,D797,D803,D809,D815,D821,D827,D833,D839,D845,D851,D857,D863,D869)+SUM(D875,D881,D887,D893,D899,D905,D911,D917,D923,D929,D935,D941,D947,D953,D959,D965,D971,D977,D983,D989,D995,D1001,D1007,D1013,D1019,D1025,D1031,D1037,D1043,D1049)+SUM(D1055,D1061,D1067,D1073,D1079,D1085,D1091,D1097,D1103,D1109,D1115,D1121,D1127,D1133,D1139,D1145,D1151,D1157,D1163,D1169,D1175,D1181,D1187,D1193,D1199,D1205,D1211,D1217,D1223,D1229)+SUM(D1235,D1241,D1247,D1253,D1259,D1265,D1271,D1277,D1283,D1289,D1295,D1301,D1307,D1313,D1319,D1325,D1331)</f>
        <v>40607.3</v>
      </c>
      <c r="E1350" s="23">
        <f aca="true" t="shared" si="176" ref="E1350:N1350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,E383,E389,E395,E401,E407,E413,E419,E425,E431,E437,E443,E449,E455,E461,E467,E473,E479,E485,E491,E497,E503,E509,E515,E521,E527,E533,E539)+SUM(E545,E551,E557,E563,E569,E575,E581,E587,E593,E599,E605,E611,E617,E623,E629,E635,E641,E647,E653,E659,E665,E671,E677,E683,E689)+SUM(E695,E701,E707,E713,E719,E725,E731,E737,E743,E749,E755,E761,E767,E773,E779,E785,E791,E797,E803,E809,E815,E821,E827,E833,E839,E845,E851,E857,E863,E869)+SUM(E875,E881,E887,E893,E899,E905,E911,E917,E923,E929,E935,E941,E947,E953,E959,E965,E971,E977,E983,E989,E995,E1001,E1007,E1013,E1019,E1025,E1031,E1037,E1043,E1049)+SUM(E1055,E1061,E1067,E1073,E1079,E1085,E1091,E1097,E1103,E1109,E1115,E1121,E1127,E1133,E1139,E1145,E1151,E1157,E1163,E1169,E1175,E1181,E1187,E1193,E1199,E1205,E1211,E1217,E1223,E1229)+SUM(E1235,E1241,E1247,E1253,E1259,E1265,E1271,E1277,E1283,E1289,E1295,E1301,E1307,E1313,E1319,E1325,E1331)</f>
        <v>41246.020000000004</v>
      </c>
      <c r="F1350" s="23">
        <f t="shared" si="176"/>
        <v>42104.770000000004</v>
      </c>
      <c r="G1350" s="23">
        <f t="shared" si="176"/>
        <v>42104.770000000004</v>
      </c>
      <c r="H1350" s="23">
        <f t="shared" si="176"/>
        <v>41079.36</v>
      </c>
      <c r="I1350" s="23">
        <f t="shared" si="176"/>
        <v>41070.200000000004</v>
      </c>
      <c r="J1350" s="23">
        <f t="shared" si="176"/>
        <v>40525.16</v>
      </c>
      <c r="K1350" s="23">
        <f t="shared" si="176"/>
        <v>40446.19</v>
      </c>
      <c r="L1350" s="23">
        <f t="shared" si="176"/>
        <v>39271.17</v>
      </c>
      <c r="M1350" s="23">
        <f t="shared" si="176"/>
        <v>42418.31</v>
      </c>
      <c r="N1350" s="23">
        <f t="shared" si="176"/>
        <v>40200.43</v>
      </c>
      <c r="O1350" s="31">
        <f>SUM(O5,O11,O17,O23,O29,O35,O41,O47,O53,O59,O65,O71,O77,O83,O89,O95,O101,O107,O113,O119,O125,O131,O137,O143,O149,O155,O161,O167,O173,O179)+SUM(O185,O191,O197,O203,O209,O215,O221,O227,O233,O239,O245,O251,O257,O263,O269,O275,O281,O287,O293,O299,O305,O311,O317,O323,O329,O335,O341,O347,O353,O359)+SUM(O365,O371,O377,O383,O389,O395,O401,O407,O413,O419,O425,O431,O437,O443,O449,O455,O461,O467,O473,O479,O485,O491,O497,O503,O509,O515,O521,O527,O533,O539)+SUM(O545,O551,O557,O563,O569,O575,O581,O587,O593,O599,O605,O611,O617,O623,O629,O635,O641,O647,O653,O659,O665,O671,O677,O683,O689)+SUM(O695,O701,O707,O713,O719,O725,O731,O737,O743,O749,O755,O761,O767,O773,O779,O785,O791,O797,O803,O809,O815,O821,O827,O833,O839,O845,O851,O857,O863,O869)+SUM(O875,O881,O887,O893,O899,O905,O911,O917,O923,O929,O935,O941,O947,O953,O959,O965,O971,O977,O983,O989,O995,O1001,O1007,O1013,O1019,O1025,O1031,O1037,O1043,O1049)+SUM(O1055,O1061,O1067,O1073,O1079,O1085,O1091,O1097,O1103,O1109,O1115,O1121,O1127,O1133,O1139,O1145,O1151,O1157,O1163,O1169,O1175,O1181,O1187,O1193,O1199,O1205,O1211,O1217,O1223,O1229)+SUM(O1235,O1241,O1247,O1253,O1259,O1265,O1271,O1277,O1283,O1289,O1295,O1301,O1307,O1313,O1319,O1325,O1331,O1337,O1343)</f>
        <v>40314.37000000001</v>
      </c>
      <c r="P1350" s="23">
        <f>SUM(D1350:O1350)</f>
        <v>491388.05000000005</v>
      </c>
    </row>
    <row r="1351" spans="3:16" ht="14.25" customHeight="1">
      <c r="C1351" s="4" t="s">
        <v>196</v>
      </c>
      <c r="D1351" s="23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,D384,D390,D396,D402,D408,,D414,D420,D426,D432,D438,D444,D450,D456,D462,D468,D474,D480,D486,D492,D498,D504,D510,D516,D522,D528,D534)+SUM(D540,D546,D552,D558,D564,D570,D576,D582,D588,D594,D600,D606,D612,D618,D624,D630,D636,D642,D648,D654,D660,D666,D672,D678,D684,D690)+SUM(D696,D702,D708,D714,D720,D726,D732,D738,D744,D750,D756,D762,D768,D774,D780,D786,D792,D798,D804,D810,D816,D822,D828,D834,D840,D846,D852,D858,D864,D870)+SUM(D876,D882,D888,D894,D900,D906,D912,D918,D924,D930,D936,D942,D948,D954,D960,D966,D972,D978,D984,D990,D996,D1002,D1008,D1014,D1020,D1026,D1032,D1038,D1044,D1050)+SUM(D1056,D1062,D1068,D1074,D1080,D1086,D1092,D1098,D1104,D1110,D1116,D1122,D1128,D1134,D1140,D1146,D1152,D1158,D1164,D1170,D1176,D1182,D1188,D1194,D1200,D1206,D1212,D1218,D1224,D1230)+SUM(D1236,D1242,D1248,D1254,D1260,D1266,D1272,D1278,D1284,D1290,D1296,D1302,D1308,D1314,D1320,D1326,D1332)</f>
        <v>26250</v>
      </c>
      <c r="E1351" s="23">
        <f aca="true" t="shared" si="177" ref="E1351:N1351">SUM(E6,E12,E18,E24,E30,E36,E42,E48,E54,E60,E66,E72,E78,E84,E90,E96,E102,E108,E114,E120,E126,E132,E138,E144,E150,E156,E162,E168,E174,E180)+SUM(E186,E192,E198,E204,E210,E216,E222,E228,E234,E240,E246,E252,E258,E264,E270,E276,E282,E288,E294,E300,E306,E312,E318,E324,E330,E336,E342,E348,E354,E360)+SUM(E366,E372,E378,E384,E390,E396,E402,E408,,E414,E420,E426,E432,E438,E444,E450,E456,E462,E468,E474,E480,E486,E492,E498,E504,E510,E516,E522,E528,E534)+SUM(E540,E546,E552,E558,E564,E570,E576,E582,E588,E594,E600,E606,E612,E618,E624,E630,E636,E642,E648,E654,E660,E666,E672,E678,E684,E690)+SUM(E696,E702,E708,E714,E720,E726,E732,E738,E744,E750,E756,E762,E768,E774,E780,E786,E792,E798,E804,E810,E816,E822,E828,E834,E840,E846,E852,E858,E864,E870)+SUM(E876,E882,E888,E894,E900,E906,E912,E918,E924,E930,E936,E942,E948,E954,E960,E966,E972,E978,E984,E990,E996,E1002,E1008,E1014,E1020,E1026,E1032,E1038,E1044,E1050)+SUM(E1056,E1062,E1068,E1074,E1080,E1086,E1092,E1098,E1104,E1110,E1116,E1122,E1128,E1134,E1140,E1146,E1152,E1158,E1164,E1170,E1176,E1182,E1188,E1194,E1200,E1206,E1212,E1218,E1224,E1230)+SUM(E1236,E1242,E1248,E1254,E1260,E1266,E1272,E1278,E1284,E1290,E1296,E1302,E1308,E1314,E1320,E1326,E1332)</f>
        <v>458.34</v>
      </c>
      <c r="F1351" s="23">
        <f t="shared" si="177"/>
        <v>416.66</v>
      </c>
      <c r="G1351" s="23">
        <f t="shared" si="177"/>
        <v>375</v>
      </c>
      <c r="H1351" s="23">
        <f t="shared" si="177"/>
        <v>166.67</v>
      </c>
      <c r="I1351" s="23">
        <f t="shared" si="177"/>
        <v>0</v>
      </c>
      <c r="J1351" s="23">
        <f t="shared" si="177"/>
        <v>250</v>
      </c>
      <c r="K1351" s="23">
        <f t="shared" si="177"/>
        <v>208.34</v>
      </c>
      <c r="L1351" s="23">
        <f t="shared" si="177"/>
        <v>333.32</v>
      </c>
      <c r="M1351" s="23">
        <f t="shared" si="177"/>
        <v>0</v>
      </c>
      <c r="N1351" s="23">
        <f t="shared" si="177"/>
        <v>41.67</v>
      </c>
      <c r="O1351" s="31">
        <f>SUM(O6,O12,O18,O24,O30,O36,O42,O48,O54,O60,O66,O72,O78,O84,O90,O96,O102,O108,O114,O120,O126,O132,O138,O144,O150,O156,O162,O168,O174,O180)+SUM(O186,O192,O198,O204,O210,O216,O222,O228,O234,O240,O246,O252,O258,O264,O270,O276,O282,O288,O294,O300,O306,O312,O318,O324,O330,O336,O342,O348,O354,O360)+SUM(O366,O372,O378,O384,O390,O396,O402,O408,,O414,O420,O426,O432,O438,O444,O450,O456,O462,O468,O474,O480,O486,O492,O498,O504,O510,O516,O522,O528,O534)+SUM(O540,O546,O552,O558,O564,O570,O576,O582,O588,O594,O600,O606,O612,O618,O624,O630,O636,O642,O648,O654,O660,O666,O672,O678,O684,O690)+SUM(O696,O702,O708,O714,O720,O726,O732,O738,O744,O750,O756,O762,O768,O774,O780,O786,O792,O798,O804,O810,O816,O822,O828,O834,O840,O846,O852,O858,O864,O870)+SUM(O876,O882,O888,O894,O900,O906,O912,O918,O924,O930,O936,O942,O948,O954,O960,O966,O972,O978,O984,O990,O996,O1002,O1008,O1014,O1020,O1026,O1032,O1038,O1044,O1050)+SUM(O1056,O1062,O1068,O1074,O1080,O1086,O1092,O1098,O1104,O1110,O1116,O1122,O1128,O1134,O1140,O1146,O1152,O1158,O1164,O1170,O1176,O1182,O1188,O1194,O1200,O1206,O1212,O1218,O1224,O1230)+SUM(O1236,O1242,O1248,O1254,O1260,O1266,O1272,O1278,O1284,O1290,O1296,O1302,O1308,O1314,O1320,O1326,O1332,O1338,O1344)</f>
        <v>41.66</v>
      </c>
      <c r="P1351" s="23">
        <f>SUM(D1351:O1351)</f>
        <v>28541.659999999996</v>
      </c>
    </row>
    <row r="1352" spans="3:16" ht="14.25" customHeight="1">
      <c r="C1352" s="4" t="s">
        <v>197</v>
      </c>
      <c r="D1352" s="23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,D385,D391,D397,D403,D409,D415,D421,D427,D433,D439,D445,D451,D457,D463,D469,D475,D481,D487,D493,D499,D505,D511,D517,D523,D529,D535,D541)+SUM(D547,D553,D559,D565,D571,D577,D583,D589,D595,D601,D607,D613,D619,D625,D631,D637,D643,D649,D655,D661,D667,D673,D679,D685,D691)+SUM(D697,D703,D709,D715,D721,D727,D733,D739,D745,D751,D757,D763,D769,D775,D781,D787,D793,D799,D805,D811,D817,D823,D829,D835,D841,D847,D853,D859,D865,D871)+SUM(D877,D883,D889,D895,D901,D907,D913,D919,D925,D931,D937,D943,D949,D955,D961,D967,D973,D979,D985,D991,D997,D1003,D1009,D1015,D1021,D1027,D1033,D1039,D1045,D1051)+SUM(D1057,D1063,D1069,D1075,D1081,D1087,D1093,D1099,D1105,D1111,D1117,D1123,D1129,D1135,D1141,D1147,D1153,D1159,D1165,D1171,D1177,D1183,D1189,D1195,D1201,D1207,D1213,D1219,D1225,D1231)+SUM(D1237,D1243,D1249,D1255,D1261,D1267,D1273,D1279,D1285,D1291,D1297,D1303,D1309,D1315,D1321,D1327,D1333)</f>
        <v>7219474.149999999</v>
      </c>
      <c r="E1352" s="23">
        <f aca="true" t="shared" si="178" ref="E1352:N1353">SUM(E7,E13,E19,E25,E31,E37,E43,E49,E55,E61,E67,E73,E79,E85,E91,E97,E103,E109,E115,E121,E127,E133,E139,E145,E151,E157,E163,E169,E175,E181)+SUM(E187,E193,E199,E205,E211,E217,E223,E229,E235,E241,E247,E253,E259,E265,E271,E277,E283,E289,E295,E301,E307,E313,E319,E325,E331,E337,E343,E349,E355,E361)+SUM(E367,E373,E379,E385,E391,E397,E403,E409,E415,E421,E427,E433,E439,E445,E451,E457,E463,E469,E475,E481,E487,E493,E499,E505,E511,E517,E523,E529,E535,E541)+SUM(E547,E553,E559,E565,E571,E577,E583,E589,E595,E601,E607,E613,E619,E625,E631,E637,E643,E649,E655,E661,E667,E673,E679,E685,E691)+SUM(E697,E703,E709,E715,E721,E727,E733,E739,E745,E751,E757,E763,E769,E775,E781,E787,E793,E799,E805,E811,E817,E823,E829,E835,E841,E847,E853,E859,E865,E871)+SUM(E877,E883,E889,E895,E901,E907,E913,E919,E925,E931,E937,E943,E949,E955,E961,E967,E973,E979,E985,E991,E997,E1003,E1009,E1015,E1021,E1027,E1033,E1039,E1045,E1051)+SUM(E1057,E1063,E1069,E1075,E1081,E1087,E1093,E1099,E1105,E1111,E1117,E1123,E1129,E1135,E1141,E1147,E1153,E1159,E1165,E1171,E1177,E1183,E1189,E1195,E1201,E1207,E1213,E1219,E1225,E1231)+SUM(E1237,E1243,E1249,E1255,E1261,E1267,E1273,E1279,E1285,E1291,E1297,E1303,E1309,E1315,E1321,E1327,E1333)</f>
        <v>7287359.08</v>
      </c>
      <c r="F1352" s="23">
        <f t="shared" si="178"/>
        <v>7282954.81</v>
      </c>
      <c r="G1352" s="23">
        <f t="shared" si="178"/>
        <v>7302118.97</v>
      </c>
      <c r="H1352" s="23">
        <f t="shared" si="178"/>
        <v>7185925.440000001</v>
      </c>
      <c r="I1352" s="23">
        <f t="shared" si="178"/>
        <v>7210325.99</v>
      </c>
      <c r="J1352" s="23">
        <f t="shared" si="178"/>
        <v>7454716.36</v>
      </c>
      <c r="K1352" s="23">
        <f t="shared" si="178"/>
        <v>7443018.350000001</v>
      </c>
      <c r="L1352" s="23">
        <f t="shared" si="178"/>
        <v>7452857.83</v>
      </c>
      <c r="M1352" s="23">
        <f t="shared" si="178"/>
        <v>7455841.8100000005</v>
      </c>
      <c r="N1352" s="23">
        <f t="shared" si="178"/>
        <v>7466949.35</v>
      </c>
      <c r="O1352" s="31">
        <f>SUM(O7,O13,O19,O25,O31,O37,O43,O49,O55,O61,O67,O73,O79,O85,O91,O97,O103,O109,O115,O121,O127,O133,O139,O145,O151,O157,O163,O169,O175,O181)+SUM(O187,O193,O199,O205,O211,O217,O223,O229,O235,O241,O247,O253,O259,O265,O271,O277,O283,O289,O295,O301,O307,O313,O319,O325,O331,O337,O343,O349,O355,O361)+SUM(O367,O373,O379,O385,O391,O397,O403,O409,O415,O421,O427,O433,O439,O445,O451,O457,O463,O469,O475,O481,O487,O493,O499,O505,O511,O517,O523,O529,O535,O541)+SUM(O547,O553,O559,O565,O571,O577,O583,O589,O595,O601,O607,O613,O619,O625,O631,O637,O643,O649,O655,O661,O667,O673,O679,O685,O691)+SUM(O697,O703,O709,O715,O721,O727,O733,O739,O745,O751,O757,O763,O769,O775,O781,O787,O793,O799,O805,O811,O817,O823,O829,O835,O841,O847,O853,O859,O865,O871)+SUM(O877,O883,O889,O895,O901,O907,O913,O919,O925,O931,O937,O943,O949,O955,O961,O967,O973,O979,O985,O991,O997,O1003,O1009,O1015,O1021,O1027,O1033,O1039,O1045,O1051)+SUM(O1057,O1063,O1069,O1075,O1081,O1087,O1093,O1099,O1105,O1111,O1117,O1123,O1129,O1135,O1141,O1147,O1153,O1159,O1165,O1171,O1177,O1183,O1189,O1195,O1201,O1207,O1213,O1219,O1225,O1231)+SUM(O1237,O1243,O1249,O1255,O1261,O1267,O1273,O1279,O1285,O1291,O1297,O1303,O1309,O1315,O1321,O1327,O1333,O1339,O1345)</f>
        <v>7728505.58</v>
      </c>
      <c r="P1352" s="23">
        <f>SUM(D1352:O1352)</f>
        <v>88490047.72</v>
      </c>
    </row>
    <row r="1353" spans="3:16" ht="14.25" customHeight="1">
      <c r="C1353" s="17" t="s">
        <v>198</v>
      </c>
      <c r="D1353" s="23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,D386,D392,D398,D404,D410,D416,D422,D428,D434,D440,D446,D452,D458,D464,D470,D476,D482,D488,D494,D500,D506,D512,D518,D524,D530,D536,D542)+SUM(D548,D554,D560,D566,D572,D578,D584,D590,D596,D602,D608,D614,D620,D626,D632,D638,D644,D650,D656,D662,D668,D674,D680,D686,D692)+SUM(D698,D704,D710,D716,D722,D728,D734,D740,D746,D752,D758,D764,D770,D776,D782,D788,D794,D800,D806,D812,D818,D824,D830,D836,D842,D848,D854,D860,D866,D872)+SUM(D878,D884,D890,D896,D902,D908,D914,D920,D926,D932,D938,D944,D950,D956,D962,D968,D974,D980,D986,D992,D998,D1004,D1010,D1016,D1022,D1028,D1034,D1040,D1046,D1052)+SUM(D1058,D1064,D1070,D1076,D1082,D1088,D1094,D1100,D1106,D1112,D1118,D1124,D1130,D1136,D1142,D1148,D1154,D1160,D1166,D1172,D1178,D1184,D1190,D1196,D1202,D1208,D1214,D1220,D1226,D1232)+SUM(D1238,D1244,D1250,D1256,D1262,D1268,D1274,D1280,D1286,D1292,D1298,D1304,D1310,D1316,D1322,D1328,D1334)</f>
        <v>7286331.45</v>
      </c>
      <c r="E1353" s="23">
        <f t="shared" si="178"/>
        <v>7329063.44</v>
      </c>
      <c r="F1353" s="23">
        <f t="shared" si="178"/>
        <v>7325476.24</v>
      </c>
      <c r="G1353" s="23">
        <f t="shared" si="178"/>
        <v>7344598.74</v>
      </c>
      <c r="H1353" s="23">
        <f t="shared" si="178"/>
        <v>7227171.47</v>
      </c>
      <c r="I1353" s="23">
        <f t="shared" si="178"/>
        <v>7251396.1899999995</v>
      </c>
      <c r="J1353" s="23">
        <f t="shared" si="178"/>
        <v>7495491.52</v>
      </c>
      <c r="K1353" s="23">
        <f t="shared" si="178"/>
        <v>7483672.88</v>
      </c>
      <c r="L1353" s="23">
        <f t="shared" si="178"/>
        <v>7492462.319999999</v>
      </c>
      <c r="M1353" s="23">
        <f t="shared" si="178"/>
        <v>7498260.12</v>
      </c>
      <c r="N1353" s="23">
        <f t="shared" si="178"/>
        <v>7507191.45</v>
      </c>
      <c r="O1353" s="31">
        <f>SUM(O8,O14,O20,O26,O32,O38,O44,O50,O56,O62,O68,O74,O80,O86,O92,O98,O104,O110,O116,O122,O128,O134,O140,O146,O152,O158,O164,O170,O176,O182)+SUM(O188,O194,O200,O206,O212,O218,O224,O230,O236,O242,O248,O254,O260,O266,O272,O278,O284,O290,O296,O302,O308,O314,O320,O326,O332,O338,O344,O350,O356,O362)+SUM(O368,O374,O380,O386,O392,O398,O404,O410,O416,O422,O428,O434,O440,O446,O452,O458,O464,O470,O476,O482,O488,O494,O500,O506,O512,O518,O524,O530,O536,O542)+SUM(O548,O554,O560,O566,O572,O578,O584,O590,O596,O602,O608,O614,O620,O626,O632,O638,O644,O650,O656,O662,O668,O674,O680,O686,O692)+SUM(O698,O704,O710,O716,O722,O728,O734,O740,O746,O752,O758,O764,O770,O776,O782,O788,O794,O800,O806,O812,O818,O824,O830,O836,O842,O848,O854,O860,O866,O872)+SUM(O878,O884,O890,O896,O902,O908,O914,O920,O926,O932,O938,O944,O950,O956,O962,O968,O974,O980,O986,O992,O998,O1004,O1010,O1016,O1022,O1028,O1034,O1040,O1046,O1052)+SUM(O1058,O1064,O1070,O1076,O1082,O1088,O1094,O1100,O1106,O1112,O1118,O1124,O1130,O1136,O1142,O1148,O1154,O1160,O1166,O1172,O1178,O1184,O1190,O1196,O1202,O1208,O1214,O1220,O1226,O1232)+SUM(O1238,O1244,O1250,O1256,O1262,O1268,O1274,O1280,O1286,O1292,O1298,O1304,O1310,O1316,O1322,O1328,O1334,O1340,O1346)</f>
        <v>7768861.609999999</v>
      </c>
      <c r="P1353" s="23">
        <f>SUM(D1353:O1353)</f>
        <v>89009977.43</v>
      </c>
    </row>
    <row r="1354" ht="14.25" customHeight="1">
      <c r="C1354" s="4"/>
    </row>
    <row r="1355" spans="2:3" ht="14.25" customHeight="1">
      <c r="B1355" s="36" t="s">
        <v>103</v>
      </c>
      <c r="C1355" s="18" t="s">
        <v>83</v>
      </c>
    </row>
    <row r="1356" spans="2:3" ht="14.25" customHeight="1">
      <c r="B1356" s="35" t="s">
        <v>104</v>
      </c>
      <c r="C1356" s="19" t="s">
        <v>60</v>
      </c>
    </row>
    <row r="1357" spans="1:3" ht="14.25" customHeight="1">
      <c r="A1357" s="16"/>
      <c r="B1357" s="43" t="s">
        <v>102</v>
      </c>
      <c r="C1357" s="44" t="s">
        <v>325</v>
      </c>
    </row>
    <row r="1358" ht="14.25" customHeight="1">
      <c r="C1358" s="4"/>
    </row>
    <row r="1359" ht="5.25" customHeight="1">
      <c r="C1359" s="4"/>
    </row>
    <row r="1360" ht="5.25" customHeight="1">
      <c r="C1360" s="4"/>
    </row>
    <row r="1361" ht="5.25" customHeight="1">
      <c r="C1361" s="4"/>
    </row>
    <row r="1362" ht="5.25" customHeight="1">
      <c r="C1362" s="4"/>
    </row>
    <row r="1363" ht="5.25" customHeight="1">
      <c r="C1363" s="4"/>
    </row>
    <row r="1364" ht="5.25" customHeight="1">
      <c r="C1364" s="4"/>
    </row>
    <row r="1365" ht="5.25" customHeight="1">
      <c r="C1365" s="4"/>
    </row>
    <row r="1366" ht="5.25" customHeight="1">
      <c r="C1366" s="4"/>
    </row>
    <row r="1367" ht="5.25" customHeight="1">
      <c r="C1367" s="4"/>
    </row>
    <row r="1368" ht="5.25" customHeight="1">
      <c r="C1368" s="4"/>
    </row>
    <row r="1369" ht="5.25" customHeight="1">
      <c r="C1369" s="4"/>
    </row>
    <row r="1370" ht="5.25" customHeight="1">
      <c r="C1370" s="4"/>
    </row>
    <row r="1371" ht="5.25" customHeight="1">
      <c r="C1371" s="4"/>
    </row>
    <row r="1372" ht="5.25" customHeight="1">
      <c r="C1372" s="4"/>
    </row>
    <row r="1373" ht="5.25" customHeight="1">
      <c r="C1373" s="4"/>
    </row>
    <row r="1374" ht="5.25" customHeight="1">
      <c r="C1374" s="4"/>
    </row>
    <row r="1375" ht="5.25" customHeight="1">
      <c r="C1375" s="4"/>
    </row>
    <row r="1376" ht="5.25" customHeight="1">
      <c r="C1376" s="4"/>
    </row>
    <row r="1377" ht="5.25" customHeight="1">
      <c r="C1377" s="4"/>
    </row>
    <row r="1378" ht="5.25" customHeight="1">
      <c r="C1378" s="4"/>
    </row>
    <row r="1379" ht="5.25" customHeight="1">
      <c r="C1379" s="4"/>
    </row>
    <row r="1380" ht="5.25" customHeight="1">
      <c r="C1380" s="4"/>
    </row>
    <row r="1381" ht="5.25" customHeight="1">
      <c r="C1381" s="4"/>
    </row>
    <row r="1382" ht="5.25" customHeight="1">
      <c r="C1382" s="4"/>
    </row>
    <row r="1383" ht="5.25" customHeight="1">
      <c r="C1383" s="4"/>
    </row>
    <row r="1384" ht="5.25" customHeight="1">
      <c r="C1384" s="4"/>
    </row>
    <row r="1385" ht="5.25" customHeight="1">
      <c r="C1385" s="4"/>
    </row>
    <row r="1386" ht="5.25" customHeight="1">
      <c r="C1386" s="4"/>
    </row>
    <row r="1387" ht="5.25" customHeight="1">
      <c r="C1387" s="4"/>
    </row>
    <row r="1388" ht="5.25" customHeight="1">
      <c r="C1388" s="4"/>
    </row>
    <row r="1389" ht="5.25" customHeight="1">
      <c r="C1389" s="4"/>
    </row>
    <row r="1390" ht="5.25" customHeight="1">
      <c r="C1390" s="4"/>
    </row>
    <row r="1391" ht="5.25" customHeight="1">
      <c r="C1391" s="4"/>
    </row>
    <row r="1392" ht="5.25" customHeight="1">
      <c r="C1392" s="4"/>
    </row>
    <row r="1393" ht="5.25" customHeight="1">
      <c r="C1393" s="4"/>
    </row>
    <row r="1394" ht="5.25" customHeight="1">
      <c r="C1394" s="4"/>
    </row>
    <row r="1395" ht="5.25" customHeight="1">
      <c r="C1395" s="4"/>
    </row>
    <row r="1396" ht="5.25" customHeight="1">
      <c r="C1396" s="4"/>
    </row>
    <row r="1397" ht="5.25" customHeight="1">
      <c r="C1397" s="4"/>
    </row>
    <row r="1398" ht="5.25" customHeight="1">
      <c r="C1398" s="4"/>
    </row>
    <row r="1399" ht="5.25" customHeight="1">
      <c r="C1399" s="4"/>
    </row>
    <row r="1400" ht="5.25" customHeight="1">
      <c r="C1400" s="4"/>
    </row>
    <row r="1401" ht="5.25" customHeight="1">
      <c r="C1401" s="4"/>
    </row>
    <row r="1402" ht="5.25" customHeight="1">
      <c r="C1402" s="4"/>
    </row>
    <row r="1403" ht="5.25" customHeight="1">
      <c r="C1403" s="4"/>
    </row>
    <row r="1404" ht="5.25" customHeight="1">
      <c r="C1404" s="4"/>
    </row>
    <row r="1405" ht="5.25" customHeight="1">
      <c r="C1405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Tim Kahle</cp:lastModifiedBy>
  <cp:lastPrinted>2005-05-31T15:38:03Z</cp:lastPrinted>
  <dcterms:created xsi:type="dcterms:W3CDTF">2005-05-31T15:34:27Z</dcterms:created>
  <dcterms:modified xsi:type="dcterms:W3CDTF">2021-06-15T19:23:15Z</dcterms:modified>
  <cp:category/>
  <cp:version/>
  <cp:contentType/>
  <cp:contentStatus/>
</cp:coreProperties>
</file>