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8895" tabRatio="592" activeTab="0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fn.IFERROR" hidden="1">#NAME?</definedName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<sst xmlns="http://schemas.openxmlformats.org/spreadsheetml/2006/main" count="4022" uniqueCount="539">
  <si>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</si>
  <si>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</si>
  <si>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</si>
  <si>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</si>
  <si>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</si>
  <si>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</si>
  <si>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</si>
  <si>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</si>
  <si>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</si>
  <si>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</si>
  <si>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</si>
  <si>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</si>
  <si>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</si>
  <si>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</si>
  <si>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</si>
  <si>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</si>
  <si>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</si>
  <si>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</si>
  <si>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</si>
  <si>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</si>
  <si>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</si>
  <si>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</si>
  <si>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</si>
  <si>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</si>
  <si>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</si>
  <si>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</si>
  <si>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</si>
  <si>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</si>
  <si>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</si>
  <si>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</si>
  <si>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</si>
  <si>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</si>
  <si>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</si>
  <si>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</si>
  <si>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</si>
  <si>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</si>
  <si>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</si>
  <si>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</si>
  <si>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</si>
  <si>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</si>
  <si>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</si>
  <si>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</si>
  <si>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</si>
  <si>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</si>
  <si>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</si>
  <si>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</si>
  <si>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</si>
  <si>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</si>
  <si>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</si>
  <si>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</si>
  <si>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</si>
  <si>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</si>
  <si>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</si>
  <si>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</si>
  <si>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</si>
  <si>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</si>
  <si>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</si>
  <si>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</si>
  <si>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</si>
  <si>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</si>
  <si>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</si>
  <si>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</si>
  <si>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</si>
  <si>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</si>
  <si>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</si>
  <si>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</si>
  <si>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</si>
  <si>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</si>
  <si>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</si>
  <si>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</si>
  <si>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</si>
  <si>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</si>
  <si>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</si>
  <si>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</si>
  <si>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</si>
  <si>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</si>
  <si>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</si>
  <si>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</si>
  <si>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</si>
  <si>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</si>
  <si>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</si>
  <si>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</si>
  <si>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</si>
  <si>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</si>
  <si>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</si>
  <si>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</si>
  <si>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</si>
  <si>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</si>
  <si>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</si>
  <si>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</si>
  <si>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</si>
  <si>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</si>
  <si>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</si>
  <si>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</si>
  <si>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</si>
  <si>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</si>
  <si>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</si>
  <si>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</si>
  <si>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</si>
  <si>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</si>
  <si>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</si>
  <si>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</si>
  <si>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</si>
  <si>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</si>
  <si>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</si>
  <si>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</si>
  <si>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</si>
  <si>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</si>
  <si>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</si>
  <si>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</si>
  <si>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</si>
  <si>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</si>
  <si>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</si>
  <si>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</si>
  <si>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</si>
  <si>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</si>
  <si>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</si>
  <si>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</si>
  <si>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</si>
  <si>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</si>
  <si>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</si>
  <si>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</si>
  <si>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</si>
  <si>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</si>
  <si>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</si>
  <si>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</si>
  <si>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</si>
  <si>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</si>
  <si>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</si>
  <si>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</si>
  <si>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</si>
  <si>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</si>
  <si>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</si>
  <si>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</si>
  <si>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</si>
  <si>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</si>
  <si>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</si>
  <si>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</si>
  <si>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</si>
  <si>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</si>
  <si>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</si>
  <si>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</si>
  <si>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</si>
  <si>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</si>
  <si>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</si>
  <si>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</si>
  <si>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</si>
  <si>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</si>
  <si>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</si>
  <si>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</si>
  <si>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</si>
  <si>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</si>
  <si>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</si>
  <si>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</si>
  <si>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</si>
  <si>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</si>
  <si>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</si>
  <si>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</si>
  <si>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</si>
  <si>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</si>
  <si>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</si>
  <si>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</si>
  <si>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</si>
  <si>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</si>
  <si>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</si>
  <si>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</si>
  <si>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</si>
  <si>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</si>
  <si>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</si>
  <si>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</si>
  <si>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</si>
  <si>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</si>
  <si>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</si>
  <si>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</si>
  <si>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</si>
  <si>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</si>
  <si>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</si>
  <si>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</si>
  <si>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</si>
  <si>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</si>
  <si>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</si>
  <si>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</si>
  <si>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</si>
  <si>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</si>
  <si>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</si>
  <si>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</si>
  <si>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</si>
  <si>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</si>
  <si>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</si>
  <si>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</si>
  <si>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</si>
  <si>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</si>
  <si>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</si>
  <si>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</si>
  <si>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</si>
  <si>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</si>
  <si>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</si>
  <si>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</si>
  <si>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</si>
  <si>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</si>
  <si>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</si>
  <si>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</si>
  <si>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</si>
  <si>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</si>
  <si>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</si>
  <si>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</si>
  <si>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</si>
  <si>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</si>
  <si>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</si>
  <si>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</si>
  <si>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</si>
  <si>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</si>
  <si>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</si>
  <si>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</si>
  <si>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</si>
  <si>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</si>
  <si>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</si>
  <si>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</si>
  <si>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</si>
  <si>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</si>
  <si>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</si>
  <si>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</si>
  <si>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</si>
  <si>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</si>
  <si>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</si>
  <si>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</si>
  <si>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</si>
  <si>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</si>
  <si>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</si>
  <si>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</si>
  <si>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</si>
  <si>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</si>
  <si>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</si>
  <si>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</si>
  <si>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</si>
  <si>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</si>
  <si>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</si>
  <si>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</si>
  <si>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</si>
  <si>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</si>
  <si>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</si>
  <si>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</si>
  <si>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</si>
  <si>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</si>
  <si>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</si>
  <si>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</si>
  <si>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</si>
  <si>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</si>
  <si>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</si>
  <si>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</si>
  <si>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</si>
  <si>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</si>
  <si>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</si>
  <si>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</si>
  <si>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</si>
  <si>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</si>
  <si>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</si>
  <si>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</si>
  <si>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</si>
  <si>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</si>
  <si>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</si>
  <si>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</si>
  <si>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</si>
  <si>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</si>
  <si>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</si>
  <si>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</si>
  <si>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</si>
  <si>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</si>
  <si>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</si>
  <si>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</si>
  <si>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</si>
  <si>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</si>
  <si>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</si>
  <si>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</si>
  <si>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</si>
  <si>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</si>
  <si>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</si>
  <si>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</si>
  <si>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</si>
  <si>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</si>
  <si>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</si>
  <si>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</si>
  <si>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</si>
  <si>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</si>
  <si>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</si>
  <si>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</si>
  <si>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</si>
  <si>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</si>
  <si>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</si>
  <si>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</si>
  <si>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</si>
  <si>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</si>
  <si>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</si>
  <si>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</si>
  <si>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</si>
  <si>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</si>
  <si>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</si>
  <si>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</si>
  <si>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</si>
  <si>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</si>
  <si>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</si>
  <si>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</si>
  <si>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</si>
  <si>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</si>
  <si>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</si>
  <si>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</si>
  <si>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</si>
  <si>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</si>
  <si>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</si>
  <si>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</si>
  <si>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</si>
  <si>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</si>
  <si>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</si>
  <si>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</si>
  <si>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</si>
  <si>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</si>
  <si>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</si>
  <si>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</si>
  <si>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</si>
  <si>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</si>
  <si>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</si>
  <si>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</si>
  <si>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</si>
  <si>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</si>
  <si>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</si>
  <si>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</si>
  <si>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</si>
  <si>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</si>
  <si>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</si>
  <si>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</si>
  <si>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</si>
  <si>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</si>
  <si>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</si>
  <si>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</si>
  <si>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</si>
  <si>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</si>
  <si>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</si>
  <si>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</si>
  <si>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</si>
  <si>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</si>
  <si>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</si>
  <si>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</si>
  <si>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</si>
  <si>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</si>
  <si>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</si>
  <si>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</si>
  <si>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</si>
  <si>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</si>
  <si>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</si>
  <si>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</si>
  <si>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</si>
  <si>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</si>
  <si>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</si>
  <si>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</si>
  <si>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</si>
  <si>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</si>
  <si>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</si>
  <si>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</si>
  <si>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</si>
  <si>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</si>
  <si>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</si>
  <si>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</si>
  <si>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</si>
  <si>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</si>
  <si>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</si>
  <si>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</si>
  <si>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</si>
  <si>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</si>
  <si>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</si>
  <si>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</si>
  <si>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</si>
  <si>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</si>
  <si>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</si>
  <si>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</si>
  <si>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</si>
  <si>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</si>
  <si>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</si>
  <si>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</si>
  <si>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</si>
  <si>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</si>
  <si>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</si>
  <si>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</si>
  <si>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</si>
  <si>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</si>
  <si>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</si>
  <si>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</si>
  <si>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</si>
  <si>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</si>
  <si>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</si>
  <si>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</si>
  <si>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</si>
  <si>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</si>
  <si>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</si>
  <si>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</si>
  <si>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</si>
  <si>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</si>
  <si>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</si>
  <si>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</si>
  <si>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</si>
  <si>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</si>
  <si>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</si>
  <si>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</si>
  <si>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</si>
  <si>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</si>
  <si>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</si>
  <si>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</si>
  <si>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</si>
  <si>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</si>
  <si>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</si>
  <si>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</si>
  <si>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</si>
  <si>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</si>
  <si>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</si>
  <si>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</si>
  <si>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</si>
  <si>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</si>
  <si>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</si>
  <si>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</si>
  <si>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</si>
  <si>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</si>
  <si>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</si>
  <si>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</si>
  <si>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</si>
  <si>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</si>
  <si>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</si>
  <si>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</si>
  <si>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</si>
  <si>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</si>
  <si>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</si>
  <si>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</si>
  <si>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</si>
  <si>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</si>
  <si>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</si>
  <si>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</si>
  <si>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</si>
  <si>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</si>
  <si>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</si>
  <si>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</si>
  <si>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</si>
  <si>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</si>
  <si>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</si>
  <si>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</si>
  <si>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</si>
  <si>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</si>
  <si>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</si>
  <si>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</si>
  <si>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</si>
  <si>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</si>
  <si>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</si>
  <si>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</si>
  <si>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</si>
  <si>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</si>
  <si>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</si>
  <si>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</si>
  <si>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</si>
  <si>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</si>
  <si>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</si>
  <si>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</si>
  <si>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</si>
  <si>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</si>
  <si>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</si>
  <si>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</si>
  <si>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</si>
  <si>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</si>
  <si>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</si>
  <si>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</si>
  <si>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</si>
  <si>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</si>
  <si>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</si>
  <si>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</si>
  <si>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</si>
  <si>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</si>
  <si>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</si>
  <si>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</si>
  <si>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</si>
  <si>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</si>
  <si>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</si>
  <si>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</si>
  <si>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</si>
  <si>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</si>
  <si>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</si>
  <si>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</si>
  <si>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</si>
  <si>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</si>
  <si>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</si>
  <si>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</si>
  <si>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</si>
  <si>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</si>
  <si>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</si>
  <si>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</si>
  <si>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</si>
  <si>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</si>
  <si>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</si>
  <si>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</si>
  <si>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</si>
  <si>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</si>
  <si>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</si>
  <si>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</si>
  <si>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</si>
  <si>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</si>
  <si>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TOTAL</t>
  </si>
  <si>
    <t>Source Code  3111</t>
  </si>
  <si>
    <t>Code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</si>
  <si>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</si>
  <si>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</si>
  <si>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</si>
  <si>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</si>
  <si>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</si>
  <si>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</si>
  <si>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</si>
  <si>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</si>
  <si>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</si>
  <si>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</si>
  <si>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</si>
  <si>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</si>
  <si>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</si>
  <si>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</si>
  <si>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</si>
  <si>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</si>
  <si>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</si>
  <si>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</si>
  <si>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</si>
  <si>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CSI - Montessori del Mundo</t>
  </si>
  <si>
    <t>Global Village Charter Collaborative</t>
  </si>
  <si>
    <t>Charter Choice Collaborative</t>
  </si>
  <si>
    <t>On Line and ASCENT Charter Count</t>
  </si>
  <si>
    <t>On Line and ASCENT Per Pupil Funding</t>
  </si>
  <si>
    <t>CSI - New Legacy High School</t>
  </si>
  <si>
    <t>Hold Harmless Full Day Kindergarten Funding FY 2017-18</t>
  </si>
  <si>
    <t>CSI - Pinnacle Charter School</t>
  </si>
  <si>
    <t>CSI - Ricardo Flores Magnon Academy</t>
  </si>
  <si>
    <t>(Overpayment)/</t>
  </si>
  <si>
    <t>ELPA: Initial
90%
FY 2018-19</t>
  </si>
  <si>
    <t>ELPA: Final 10%
FY 2018-19</t>
  </si>
  <si>
    <t>Gross State Share History is on the CDE website:  http://www.cde.state.co.us/cdefinance/publicschoolfinanceactof1994-fy2018-19</t>
  </si>
  <si>
    <t>Gross State Share History is on the CDE website: http://www2.cde.state.co.us/scripts/fin_distpaym_submit19.asp</t>
  </si>
  <si>
    <t>CSI - Two Rivers Charter School</t>
  </si>
  <si>
    <t>Education reEnvisioned BOCES</t>
  </si>
  <si>
    <t>Colorado River BOCES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</si>
</sst>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  <numFmt numFmtId="180" formatCode="_(* #,##0_);_(* \(#,##0\);_(* &quot;-&quot;??_);_(@_)"/>
    <numFmt numFmtId="181" formatCode="0.000000%"/>
    <numFmt numFmtId="182" formatCode="0.0000000%"/>
    <numFmt numFmtId="183" formatCode="#,##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4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5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 applyProtection="1">
      <alignment horizontal="left"/>
      <protection/>
    </xf>
    <xf numFmtId="0" fontId="7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Alignment="1" quotePrefix="1">
      <alignment/>
    </xf>
    <xf numFmtId="39" fontId="0" fillId="0" borderId="0" xfId="42" applyNumberFormat="1" applyFont="1" applyAlignment="1">
      <alignment/>
    </xf>
    <xf numFmtId="39" fontId="0" fillId="0" borderId="0" xfId="42" applyNumberFormat="1" applyFont="1" applyBorder="1" applyAlignment="1">
      <alignment/>
    </xf>
    <xf numFmtId="4" fontId="0" fillId="35" borderId="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9" fontId="0" fillId="33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3" fontId="0" fillId="0" borderId="0" xfId="42" applyFont="1" applyAlignment="1" applyProtection="1">
      <alignment horizontal="left"/>
      <protection/>
    </xf>
    <xf numFmtId="43" fontId="0" fillId="33" borderId="0" xfId="42" applyFont="1" applyFill="1" applyAlignment="1">
      <alignment/>
    </xf>
    <xf numFmtId="43" fontId="0" fillId="0" borderId="0" xfId="42" applyFont="1" applyFill="1" applyAlignment="1">
      <alignment/>
    </xf>
    <xf numFmtId="168" fontId="0" fillId="0" borderId="0" xfId="0" applyNumberFormat="1" applyFill="1" applyAlignment="1">
      <alignment wrapText="1"/>
    </xf>
    <xf numFmtId="0" fontId="0" fillId="33" borderId="10" xfId="0" applyFill="1" applyBorder="1" applyAlignment="1">
      <alignment horizontal="right"/>
    </xf>
    <xf numFmtId="39" fontId="9" fillId="35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H51" sqref="H51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2812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7109375" style="9" bestFit="1" customWidth="1"/>
    <col min="9" max="9" width="16.00390625" style="0" bestFit="1" customWidth="1"/>
    <col min="10" max="10" width="12.28125" style="0" bestFit="1" customWidth="1"/>
    <col min="11" max="11" width="14.421875" style="0" bestFit="1" customWidth="1"/>
  </cols>
  <sheetData>
    <row r="1" spans="1:8" ht="12.75">
      <c r="A1" s="95" t="s">
        <v>0</v>
      </c>
      <c r="B1" s="96" t="s">
        <v>1</v>
      </c>
      <c r="C1" s="96" t="s">
        <v>2</v>
      </c>
      <c r="D1" s="10" t="s">
        <v>3</v>
      </c>
      <c r="E1" s="27" t="s">
        <v>493</v>
      </c>
      <c r="F1" s="27" t="s">
        <v>485</v>
      </c>
      <c r="G1" s="27" t="s">
        <v>518</v>
      </c>
      <c r="H1" s="73" t="s">
        <v>4</v>
      </c>
    </row>
    <row r="2" spans="4:8" ht="12.75">
      <c r="D2" s="2"/>
      <c r="E2" s="27" t="s">
        <v>492</v>
      </c>
      <c r="F2" s="28"/>
      <c r="G2" s="27" t="s">
        <v>519</v>
      </c>
      <c r="H2" s="73"/>
    </row>
    <row r="3" spans="4:8" ht="12.75">
      <c r="D3" s="2"/>
      <c r="E3" s="27" t="s">
        <v>494</v>
      </c>
      <c r="F3" s="28"/>
      <c r="G3" s="27" t="s">
        <v>520</v>
      </c>
      <c r="H3" s="73"/>
    </row>
    <row r="4" spans="4:8" ht="12.75">
      <c r="D4" s="2"/>
      <c r="E4" s="27"/>
      <c r="F4" s="28" t="s">
        <v>486</v>
      </c>
      <c r="G4" s="28"/>
      <c r="H4" s="73"/>
    </row>
    <row r="5" spans="4:8" ht="12.75">
      <c r="D5" s="125" t="s">
        <v>246</v>
      </c>
      <c r="E5" s="116" t="s">
        <v>246</v>
      </c>
      <c r="F5" s="79" t="s">
        <v>487</v>
      </c>
      <c r="G5" s="79" t="s">
        <v>246</v>
      </c>
      <c r="H5" s="79"/>
    </row>
    <row r="6" spans="4:8" ht="12.75">
      <c r="D6" s="127" t="s">
        <v>512</v>
      </c>
      <c r="E6" s="128"/>
      <c r="F6" s="128"/>
      <c r="G6" s="79"/>
      <c r="H6" s="87"/>
    </row>
    <row r="7" spans="4:8" ht="12.75">
      <c r="D7" s="8"/>
      <c r="E7" s="5"/>
      <c r="F7" s="5"/>
      <c r="G7" s="5"/>
      <c r="H7" s="64"/>
    </row>
    <row r="8" spans="3:8" ht="12.75">
      <c r="C8" s="6"/>
      <c r="D8" s="129"/>
      <c r="E8" s="130"/>
      <c r="F8" s="130"/>
      <c r="G8" s="30"/>
      <c r="H8" s="64"/>
    </row>
    <row r="9" spans="4:8" ht="12.75">
      <c r="D9" s="131"/>
      <c r="E9" s="131"/>
      <c r="F9" s="131"/>
      <c r="G9" s="7"/>
      <c r="H9" s="64"/>
    </row>
    <row r="10" spans="3:8" ht="12.75">
      <c r="C10" s="6" t="s">
        <v>264</v>
      </c>
      <c r="D10" s="30" t="s">
        <v>534</v>
      </c>
      <c r="E10" s="7"/>
      <c r="F10" s="7"/>
      <c r="G10" s="7"/>
      <c r="H10" s="64"/>
    </row>
    <row r="11" spans="4:8" ht="12.75">
      <c r="D11" s="7"/>
      <c r="E11" s="85"/>
      <c r="F11" s="30"/>
      <c r="G11" s="7"/>
      <c r="H11" s="64"/>
    </row>
    <row r="12" spans="4:8" ht="12.75">
      <c r="D12" s="7"/>
      <c r="E12" s="7"/>
      <c r="F12" s="7"/>
      <c r="G12" s="7"/>
      <c r="H12" s="64"/>
    </row>
    <row r="13" spans="1:11" ht="12.75">
      <c r="A13" s="3" t="s">
        <v>5</v>
      </c>
      <c r="B13" t="s">
        <v>6</v>
      </c>
      <c r="C13" s="59" t="s">
        <v>309</v>
      </c>
      <c r="D13" s="39">
        <v>48839602.68197926</v>
      </c>
      <c r="E13" s="63">
        <v>0</v>
      </c>
      <c r="F13" s="14">
        <v>-23799.158937342178</v>
      </c>
      <c r="G13" s="112">
        <v>0</v>
      </c>
      <c r="H13" s="77">
        <f>SUM(D13:G13)</f>
        <v>48815803.52304192</v>
      </c>
      <c r="I13" s="1"/>
      <c r="J13" s="1"/>
      <c r="K13" s="1"/>
    </row>
    <row r="14" spans="1:11" ht="12.75">
      <c r="A14" s="3" t="s">
        <v>7</v>
      </c>
      <c r="B14" t="s">
        <v>6</v>
      </c>
      <c r="C14" s="59" t="s">
        <v>310</v>
      </c>
      <c r="D14" s="39">
        <v>221820643.50201714</v>
      </c>
      <c r="E14" s="63">
        <v>2425.919999999995</v>
      </c>
      <c r="F14" s="14">
        <v>-103425.45760586017</v>
      </c>
      <c r="G14" s="112">
        <v>0</v>
      </c>
      <c r="H14" s="77">
        <f aca="true" t="shared" si="0" ref="H14:H77">SUM(D14:G14)</f>
        <v>221719643.96441126</v>
      </c>
      <c r="I14" s="1"/>
      <c r="J14" s="1"/>
      <c r="K14" s="1"/>
    </row>
    <row r="15" spans="1:11" ht="12.75">
      <c r="A15" s="3" t="s">
        <v>8</v>
      </c>
      <c r="B15" t="s">
        <v>6</v>
      </c>
      <c r="C15" s="59" t="s">
        <v>311</v>
      </c>
      <c r="D15" s="39">
        <v>39593112.27920908</v>
      </c>
      <c r="E15" s="63">
        <v>94085.53000000003</v>
      </c>
      <c r="F15" s="14">
        <v>-20727.31342256585</v>
      </c>
      <c r="G15" s="112">
        <v>0</v>
      </c>
      <c r="H15" s="77">
        <f t="shared" si="0"/>
        <v>39666470.49578651</v>
      </c>
      <c r="I15" s="1"/>
      <c r="J15" s="1"/>
      <c r="K15" s="1"/>
    </row>
    <row r="16" spans="1:11" ht="12.75">
      <c r="A16" s="3" t="s">
        <v>9</v>
      </c>
      <c r="B16" t="s">
        <v>6</v>
      </c>
      <c r="C16" s="59" t="s">
        <v>312</v>
      </c>
      <c r="D16" s="39">
        <v>104085752.68797973</v>
      </c>
      <c r="E16" s="63">
        <v>-55362.79</v>
      </c>
      <c r="F16" s="14">
        <v>-49062.23394192984</v>
      </c>
      <c r="G16" s="112">
        <v>0</v>
      </c>
      <c r="H16" s="77">
        <f t="shared" si="0"/>
        <v>103981327.6640378</v>
      </c>
      <c r="I16" s="1"/>
      <c r="J16" s="1"/>
      <c r="K16" s="1"/>
    </row>
    <row r="17" spans="1:11" ht="12.75">
      <c r="A17" s="3" t="s">
        <v>10</v>
      </c>
      <c r="B17" t="s">
        <v>6</v>
      </c>
      <c r="C17" s="59" t="s">
        <v>313</v>
      </c>
      <c r="D17" s="39">
        <v>4728873.838245923</v>
      </c>
      <c r="E17" s="63">
        <v>0</v>
      </c>
      <c r="F17" s="14">
        <v>-3035.3795057144007</v>
      </c>
      <c r="G17" s="112">
        <v>0</v>
      </c>
      <c r="H17" s="77">
        <f t="shared" si="0"/>
        <v>4725838.458740208</v>
      </c>
      <c r="I17" s="1"/>
      <c r="J17" s="1"/>
      <c r="K17" s="1"/>
    </row>
    <row r="18" spans="1:11" ht="12.75">
      <c r="A18" s="3" t="s">
        <v>11</v>
      </c>
      <c r="B18" t="s">
        <v>6</v>
      </c>
      <c r="C18" s="59" t="s">
        <v>314</v>
      </c>
      <c r="D18" s="39">
        <v>5361176.23169832</v>
      </c>
      <c r="E18" s="63">
        <v>0</v>
      </c>
      <c r="F18" s="14">
        <v>-2867.2636944837664</v>
      </c>
      <c r="G18" s="112">
        <v>0</v>
      </c>
      <c r="H18" s="77">
        <f t="shared" si="0"/>
        <v>5358308.968003836</v>
      </c>
      <c r="I18" s="1"/>
      <c r="J18" s="1"/>
      <c r="K18" s="1"/>
    </row>
    <row r="19" spans="1:11" ht="12.75">
      <c r="A19" s="3" t="s">
        <v>12</v>
      </c>
      <c r="B19" t="s">
        <v>6</v>
      </c>
      <c r="C19" s="59" t="s">
        <v>315</v>
      </c>
      <c r="D19" s="39">
        <v>57653503.65513289</v>
      </c>
      <c r="E19" s="63">
        <v>330917.65</v>
      </c>
      <c r="F19" s="14">
        <v>-27132.072035891033</v>
      </c>
      <c r="G19" s="112">
        <v>0</v>
      </c>
      <c r="H19" s="77">
        <f t="shared" si="0"/>
        <v>57957289.233096994</v>
      </c>
      <c r="I19" s="1"/>
      <c r="J19" s="1"/>
      <c r="K19" s="1"/>
    </row>
    <row r="20" spans="1:11" ht="12.75">
      <c r="A20" s="3" t="s">
        <v>13</v>
      </c>
      <c r="B20" t="s">
        <v>14</v>
      </c>
      <c r="C20" s="59" t="s">
        <v>316</v>
      </c>
      <c r="D20" s="39">
        <v>14661537.282762975</v>
      </c>
      <c r="E20" s="63">
        <v>0</v>
      </c>
      <c r="F20" s="14">
        <v>-6546.791520520491</v>
      </c>
      <c r="G20" s="112">
        <v>0</v>
      </c>
      <c r="H20" s="77">
        <f t="shared" si="0"/>
        <v>14654990.491242453</v>
      </c>
      <c r="I20" s="1"/>
      <c r="J20" s="1"/>
      <c r="K20" s="1"/>
    </row>
    <row r="21" spans="1:11" ht="12.75">
      <c r="A21" s="3" t="s">
        <v>15</v>
      </c>
      <c r="B21" t="s">
        <v>14</v>
      </c>
      <c r="C21" s="59" t="s">
        <v>317</v>
      </c>
      <c r="D21" s="39">
        <v>2004956.1952750878</v>
      </c>
      <c r="E21" s="63">
        <v>0</v>
      </c>
      <c r="F21" s="14">
        <v>-1114.4040948134314</v>
      </c>
      <c r="G21" s="112">
        <v>0</v>
      </c>
      <c r="H21" s="77">
        <f t="shared" si="0"/>
        <v>2003841.7911802744</v>
      </c>
      <c r="I21" s="1"/>
      <c r="J21" s="1"/>
      <c r="K21" s="1"/>
    </row>
    <row r="22" spans="1:11" ht="12.75">
      <c r="A22" s="3" t="s">
        <v>16</v>
      </c>
      <c r="B22" t="s">
        <v>17</v>
      </c>
      <c r="C22" s="59" t="s">
        <v>318</v>
      </c>
      <c r="D22" s="39">
        <v>8792817.04132643</v>
      </c>
      <c r="E22" s="63">
        <v>0</v>
      </c>
      <c r="F22" s="14">
        <v>-7606.7495162587875</v>
      </c>
      <c r="G22" s="112">
        <v>0</v>
      </c>
      <c r="H22" s="77">
        <f t="shared" si="0"/>
        <v>8785210.291810172</v>
      </c>
      <c r="I22" s="1"/>
      <c r="J22" s="1"/>
      <c r="K22" s="1"/>
    </row>
    <row r="23" spans="1:11" ht="12.75">
      <c r="A23" s="3" t="s">
        <v>18</v>
      </c>
      <c r="B23" t="s">
        <v>17</v>
      </c>
      <c r="C23" s="59" t="s">
        <v>319</v>
      </c>
      <c r="D23" s="39">
        <v>8291634.368608031</v>
      </c>
      <c r="E23" s="63">
        <v>0</v>
      </c>
      <c r="F23" s="14">
        <v>-4497.181828102052</v>
      </c>
      <c r="G23" s="112">
        <v>0</v>
      </c>
      <c r="H23" s="77">
        <f t="shared" si="0"/>
        <v>8287137.186779929</v>
      </c>
      <c r="I23" s="1"/>
      <c r="J23" s="1"/>
      <c r="K23" s="1"/>
    </row>
    <row r="24" spans="1:11" ht="12.75">
      <c r="A24" s="3" t="s">
        <v>19</v>
      </c>
      <c r="B24" t="s">
        <v>17</v>
      </c>
      <c r="C24" s="59" t="s">
        <v>320</v>
      </c>
      <c r="D24" s="39">
        <v>292189006.71377015</v>
      </c>
      <c r="E24" s="63">
        <v>0</v>
      </c>
      <c r="F24" s="14">
        <v>-149424.59028189228</v>
      </c>
      <c r="G24" s="112">
        <v>0</v>
      </c>
      <c r="H24" s="77">
        <f t="shared" si="0"/>
        <v>292039582.12348825</v>
      </c>
      <c r="I24" s="1"/>
      <c r="J24" s="1"/>
      <c r="K24" s="1"/>
    </row>
    <row r="25" spans="1:11" ht="12.75">
      <c r="A25" s="3" t="s">
        <v>20</v>
      </c>
      <c r="B25" t="s">
        <v>17</v>
      </c>
      <c r="C25" s="59" t="s">
        <v>321</v>
      </c>
      <c r="D25" s="39">
        <v>67116161.43638979</v>
      </c>
      <c r="E25" s="63">
        <v>0</v>
      </c>
      <c r="F25" s="14">
        <v>-40001.78073173706</v>
      </c>
      <c r="G25" s="112">
        <v>0</v>
      </c>
      <c r="H25" s="77">
        <f t="shared" si="0"/>
        <v>67076159.65565805</v>
      </c>
      <c r="I25" s="1"/>
      <c r="J25" s="1"/>
      <c r="K25" s="1"/>
    </row>
    <row r="26" spans="1:11" ht="12.75">
      <c r="A26" s="3" t="s">
        <v>21</v>
      </c>
      <c r="B26" t="s">
        <v>17</v>
      </c>
      <c r="C26" s="59" t="s">
        <v>322</v>
      </c>
      <c r="D26" s="39">
        <v>1546737.3186042022</v>
      </c>
      <c r="E26" s="63">
        <v>0</v>
      </c>
      <c r="F26" s="14">
        <v>-905.0031652707376</v>
      </c>
      <c r="G26" s="112">
        <v>0</v>
      </c>
      <c r="H26" s="77">
        <f t="shared" si="0"/>
        <v>1545832.3154389316</v>
      </c>
      <c r="I26" s="1"/>
      <c r="J26" s="1"/>
      <c r="K26" s="1"/>
    </row>
    <row r="27" spans="1:11" ht="12.75">
      <c r="A27" s="3" t="s">
        <v>22</v>
      </c>
      <c r="B27" t="s">
        <v>17</v>
      </c>
      <c r="C27" s="59" t="s">
        <v>323</v>
      </c>
      <c r="D27" s="39">
        <v>252661461.50646946</v>
      </c>
      <c r="E27" s="63">
        <v>165793.81</v>
      </c>
      <c r="F27" s="14">
        <v>-114187.18390198823</v>
      </c>
      <c r="G27" s="112">
        <v>0</v>
      </c>
      <c r="H27" s="77">
        <f t="shared" si="0"/>
        <v>252713068.13256747</v>
      </c>
      <c r="I27" s="1"/>
      <c r="J27" s="1"/>
      <c r="K27" s="1"/>
    </row>
    <row r="28" spans="1:11" ht="12.75">
      <c r="A28" s="3" t="s">
        <v>23</v>
      </c>
      <c r="B28" t="s">
        <v>17</v>
      </c>
      <c r="C28" s="59" t="s">
        <v>324</v>
      </c>
      <c r="D28" s="39">
        <v>19775271.779104643</v>
      </c>
      <c r="E28" s="63">
        <v>0</v>
      </c>
      <c r="F28" s="14">
        <v>-7500.318781325901</v>
      </c>
      <c r="G28" s="112">
        <v>0</v>
      </c>
      <c r="H28" s="77">
        <f t="shared" si="0"/>
        <v>19767771.460323315</v>
      </c>
      <c r="I28" s="1"/>
      <c r="J28" s="1"/>
      <c r="K28" s="1"/>
    </row>
    <row r="29" spans="1:11" ht="12.75">
      <c r="A29" s="3" t="s">
        <v>24</v>
      </c>
      <c r="B29" t="s">
        <v>25</v>
      </c>
      <c r="C29" s="59" t="s">
        <v>325</v>
      </c>
      <c r="D29" s="39">
        <v>6840092.307651584</v>
      </c>
      <c r="E29" s="63">
        <v>0</v>
      </c>
      <c r="F29" s="14">
        <v>-4739.043481392498</v>
      </c>
      <c r="G29" s="112">
        <v>0</v>
      </c>
      <c r="H29" s="77">
        <f t="shared" si="0"/>
        <v>6835353.264170191</v>
      </c>
      <c r="I29" s="1"/>
      <c r="J29" s="1"/>
      <c r="K29" s="1"/>
    </row>
    <row r="30" spans="1:11" ht="12.75">
      <c r="A30" s="3" t="s">
        <v>26</v>
      </c>
      <c r="B30" t="s">
        <v>27</v>
      </c>
      <c r="C30" s="59" t="s">
        <v>326</v>
      </c>
      <c r="D30" s="39">
        <v>1521886.8609671951</v>
      </c>
      <c r="E30" s="63">
        <v>0</v>
      </c>
      <c r="F30" s="14">
        <v>-736.9397437122187</v>
      </c>
      <c r="G30" s="112">
        <v>0</v>
      </c>
      <c r="H30" s="77">
        <f t="shared" si="0"/>
        <v>1521149.9212234828</v>
      </c>
      <c r="I30" s="1"/>
      <c r="J30" s="1"/>
      <c r="K30" s="1"/>
    </row>
    <row r="31" spans="1:11" ht="12.75">
      <c r="A31" s="3" t="s">
        <v>28</v>
      </c>
      <c r="B31" t="s">
        <v>27</v>
      </c>
      <c r="C31" s="59" t="s">
        <v>327</v>
      </c>
      <c r="D31" s="39">
        <v>505746.3894676502</v>
      </c>
      <c r="E31" s="63">
        <v>0</v>
      </c>
      <c r="F31" s="14">
        <v>-302.2138030436238</v>
      </c>
      <c r="G31" s="112">
        <v>0</v>
      </c>
      <c r="H31" s="77">
        <f t="shared" si="0"/>
        <v>505444.17566460656</v>
      </c>
      <c r="I31" s="1"/>
      <c r="J31" s="1"/>
      <c r="K31" s="1"/>
    </row>
    <row r="32" spans="1:11" ht="12.75">
      <c r="A32" s="3" t="s">
        <v>29</v>
      </c>
      <c r="B32" t="s">
        <v>27</v>
      </c>
      <c r="C32" s="59" t="s">
        <v>328</v>
      </c>
      <c r="D32" s="39">
        <v>2226703.7394980323</v>
      </c>
      <c r="E32" s="63">
        <v>0</v>
      </c>
      <c r="F32" s="14">
        <v>-1074.4744309238174</v>
      </c>
      <c r="G32" s="112">
        <v>0</v>
      </c>
      <c r="H32" s="77">
        <f t="shared" si="0"/>
        <v>2225629.2650671084</v>
      </c>
      <c r="I32" s="1"/>
      <c r="J32" s="1"/>
      <c r="K32" s="1"/>
    </row>
    <row r="33" spans="1:11" ht="12.75">
      <c r="A33" s="3" t="s">
        <v>30</v>
      </c>
      <c r="B33" t="s">
        <v>27</v>
      </c>
      <c r="C33" s="59" t="s">
        <v>329</v>
      </c>
      <c r="D33" s="39">
        <v>630151.6806766695</v>
      </c>
      <c r="E33" s="63">
        <v>0</v>
      </c>
      <c r="F33" s="14">
        <v>-290.442223169782</v>
      </c>
      <c r="G33" s="112">
        <v>0</v>
      </c>
      <c r="H33" s="77">
        <f t="shared" si="0"/>
        <v>629861.2384534997</v>
      </c>
      <c r="I33" s="1"/>
      <c r="J33" s="1"/>
      <c r="K33" s="1"/>
    </row>
    <row r="34" spans="1:11" ht="12.75">
      <c r="A34" s="3" t="s">
        <v>31</v>
      </c>
      <c r="B34" t="s">
        <v>27</v>
      </c>
      <c r="C34" s="59" t="s">
        <v>330</v>
      </c>
      <c r="D34" s="39">
        <v>654546.2790684474</v>
      </c>
      <c r="E34" s="63">
        <v>0</v>
      </c>
      <c r="F34" s="14">
        <v>-286.89597487368064</v>
      </c>
      <c r="G34" s="112">
        <v>0</v>
      </c>
      <c r="H34" s="77">
        <f t="shared" si="0"/>
        <v>654259.3830935737</v>
      </c>
      <c r="I34" s="1"/>
      <c r="J34" s="1"/>
      <c r="K34" s="1"/>
    </row>
    <row r="35" spans="1:11" ht="12.75">
      <c r="A35" s="3" t="s">
        <v>32</v>
      </c>
      <c r="B35" t="s">
        <v>33</v>
      </c>
      <c r="C35" s="59" t="s">
        <v>331</v>
      </c>
      <c r="D35" s="39">
        <v>17582270.221535727</v>
      </c>
      <c r="E35" s="63">
        <v>0</v>
      </c>
      <c r="F35" s="14">
        <v>-6598.456225437156</v>
      </c>
      <c r="G35" s="112">
        <v>0</v>
      </c>
      <c r="H35" s="77">
        <f t="shared" si="0"/>
        <v>17575671.76531029</v>
      </c>
      <c r="I35" s="1"/>
      <c r="J35" s="1"/>
      <c r="K35" s="1"/>
    </row>
    <row r="36" spans="1:11" ht="12.75">
      <c r="A36" s="3" t="s">
        <v>35</v>
      </c>
      <c r="B36" t="s">
        <v>33</v>
      </c>
      <c r="C36" s="59" t="s">
        <v>332</v>
      </c>
      <c r="D36" s="39">
        <v>2267949.2389443163</v>
      </c>
      <c r="E36" s="63">
        <v>0</v>
      </c>
      <c r="F36" s="14">
        <v>-959.1328122320737</v>
      </c>
      <c r="G36" s="112">
        <v>0</v>
      </c>
      <c r="H36" s="77">
        <f t="shared" si="0"/>
        <v>2266990.106132084</v>
      </c>
      <c r="I36" s="1"/>
      <c r="J36" s="1"/>
      <c r="K36" s="1"/>
    </row>
    <row r="37" spans="1:11" ht="12.75">
      <c r="A37" s="3" t="s">
        <v>36</v>
      </c>
      <c r="B37" t="s">
        <v>37</v>
      </c>
      <c r="C37" s="59" t="s">
        <v>333</v>
      </c>
      <c r="D37" s="39">
        <v>147820481.56580272</v>
      </c>
      <c r="E37" s="63">
        <v>0</v>
      </c>
      <c r="F37" s="14">
        <v>-83472.77315416773</v>
      </c>
      <c r="G37" s="112">
        <v>0</v>
      </c>
      <c r="H37" s="77">
        <f t="shared" si="0"/>
        <v>147737008.79264855</v>
      </c>
      <c r="I37" s="1"/>
      <c r="J37" s="1"/>
      <c r="K37" s="1"/>
    </row>
    <row r="38" spans="1:11" ht="12.75">
      <c r="A38" s="3" t="s">
        <v>38</v>
      </c>
      <c r="B38" t="s">
        <v>37</v>
      </c>
      <c r="C38" s="59" t="s">
        <v>334</v>
      </c>
      <c r="D38" s="39">
        <v>63187793.91828498</v>
      </c>
      <c r="E38" s="63">
        <v>0</v>
      </c>
      <c r="F38" s="14">
        <v>-83881.3599550905</v>
      </c>
      <c r="G38" s="112">
        <v>0</v>
      </c>
      <c r="H38" s="77">
        <f t="shared" si="0"/>
        <v>63103912.558329895</v>
      </c>
      <c r="I38" s="1"/>
      <c r="J38" s="1"/>
      <c r="K38" s="1"/>
    </row>
    <row r="39" spans="1:11" ht="12.75">
      <c r="A39" s="3" t="s">
        <v>39</v>
      </c>
      <c r="B39" t="s">
        <v>40</v>
      </c>
      <c r="C39" s="59" t="s">
        <v>335</v>
      </c>
      <c r="D39" s="39">
        <v>4760714.285369561</v>
      </c>
      <c r="E39" s="63">
        <v>0</v>
      </c>
      <c r="F39" s="14">
        <v>-2881.52500503959</v>
      </c>
      <c r="G39" s="112">
        <v>0</v>
      </c>
      <c r="H39" s="77">
        <f t="shared" si="0"/>
        <v>4757832.760364521</v>
      </c>
      <c r="I39" s="1"/>
      <c r="J39" s="1"/>
      <c r="K39" s="1"/>
    </row>
    <row r="40" spans="1:11" ht="12.75">
      <c r="A40" s="3" t="s">
        <v>41</v>
      </c>
      <c r="B40" t="s">
        <v>40</v>
      </c>
      <c r="C40" s="59" t="s">
        <v>336</v>
      </c>
      <c r="D40" s="39">
        <v>5795790.373225552</v>
      </c>
      <c r="E40" s="63">
        <v>11449.06</v>
      </c>
      <c r="F40" s="14">
        <v>-3369.8558508606625</v>
      </c>
      <c r="G40" s="112">
        <v>0</v>
      </c>
      <c r="H40" s="77">
        <f t="shared" si="0"/>
        <v>5803869.577374691</v>
      </c>
      <c r="I40" s="1"/>
      <c r="J40" s="1"/>
      <c r="K40" s="1"/>
    </row>
    <row r="41" spans="1:11" ht="12.75">
      <c r="A41" s="3" t="s">
        <v>42</v>
      </c>
      <c r="B41" t="s">
        <v>43</v>
      </c>
      <c r="C41" s="59" t="s">
        <v>337</v>
      </c>
      <c r="D41" s="39">
        <v>1190802.468395337</v>
      </c>
      <c r="E41" s="63">
        <v>0</v>
      </c>
      <c r="F41" s="14">
        <v>-543.5907609902134</v>
      </c>
      <c r="G41" s="112">
        <v>0</v>
      </c>
      <c r="H41" s="77">
        <f t="shared" si="0"/>
        <v>1190258.8776343467</v>
      </c>
      <c r="I41" s="1"/>
      <c r="J41" s="1"/>
      <c r="K41" s="1"/>
    </row>
    <row r="42" spans="1:11" ht="12.75">
      <c r="A42" s="3" t="s">
        <v>45</v>
      </c>
      <c r="B42" t="s">
        <v>43</v>
      </c>
      <c r="C42" s="59" t="s">
        <v>338</v>
      </c>
      <c r="D42" s="39">
        <v>1734000.0765962838</v>
      </c>
      <c r="E42" s="63">
        <v>0</v>
      </c>
      <c r="F42" s="14">
        <v>-811.5297896960627</v>
      </c>
      <c r="G42" s="112">
        <v>0</v>
      </c>
      <c r="H42" s="77">
        <f t="shared" si="0"/>
        <v>1733188.5468065878</v>
      </c>
      <c r="I42" s="1"/>
      <c r="J42" s="1"/>
      <c r="K42" s="1"/>
    </row>
    <row r="43" spans="1:11" ht="12.75">
      <c r="A43" s="3" t="s">
        <v>46</v>
      </c>
      <c r="B43" t="s">
        <v>47</v>
      </c>
      <c r="C43" s="59" t="s">
        <v>339</v>
      </c>
      <c r="D43" s="14">
        <v>1416446.7030049865</v>
      </c>
      <c r="E43" s="63">
        <v>0</v>
      </c>
      <c r="F43" s="14">
        <v>-2337.289768177218</v>
      </c>
      <c r="G43" s="113">
        <v>0</v>
      </c>
      <c r="H43" s="77">
        <f t="shared" si="0"/>
        <v>1414109.4132368092</v>
      </c>
      <c r="I43" s="1"/>
      <c r="J43" s="1"/>
      <c r="K43" s="1"/>
    </row>
    <row r="44" spans="1:11" ht="12.75">
      <c r="A44" s="3" t="s">
        <v>48</v>
      </c>
      <c r="B44" t="s">
        <v>49</v>
      </c>
      <c r="C44" s="59" t="s">
        <v>340</v>
      </c>
      <c r="D44" s="39">
        <v>7685165.917197539</v>
      </c>
      <c r="E44" s="63">
        <v>0</v>
      </c>
      <c r="F44" s="14">
        <v>-2923.811123218892</v>
      </c>
      <c r="G44" s="112">
        <v>0</v>
      </c>
      <c r="H44" s="77">
        <f t="shared" si="0"/>
        <v>7682242.106074319</v>
      </c>
      <c r="I44" s="1"/>
      <c r="J44" s="1"/>
      <c r="K44" s="1"/>
    </row>
    <row r="45" spans="1:11" ht="12.75">
      <c r="A45" s="3" t="s">
        <v>50</v>
      </c>
      <c r="B45" t="s">
        <v>49</v>
      </c>
      <c r="C45" s="59" t="s">
        <v>341</v>
      </c>
      <c r="D45" s="39">
        <v>3295641.3404346574</v>
      </c>
      <c r="E45" s="63">
        <v>0</v>
      </c>
      <c r="F45" s="14">
        <v>-1243.0687674425833</v>
      </c>
      <c r="G45" s="112">
        <v>0</v>
      </c>
      <c r="H45" s="77">
        <f t="shared" si="0"/>
        <v>3294398.271667215</v>
      </c>
      <c r="I45" s="1"/>
      <c r="J45" s="1"/>
      <c r="K45" s="1"/>
    </row>
    <row r="46" spans="1:11" ht="12.75">
      <c r="A46" s="3" t="s">
        <v>51</v>
      </c>
      <c r="B46" t="s">
        <v>49</v>
      </c>
      <c r="C46" s="59" t="s">
        <v>342</v>
      </c>
      <c r="D46" s="39">
        <v>1948389.4306966388</v>
      </c>
      <c r="E46" s="63">
        <v>0</v>
      </c>
      <c r="F46" s="14">
        <v>-889.7212286497492</v>
      </c>
      <c r="G46" s="112">
        <v>0</v>
      </c>
      <c r="H46" s="77">
        <f t="shared" si="0"/>
        <v>1947499.709467989</v>
      </c>
      <c r="I46" s="1"/>
      <c r="J46" s="1"/>
      <c r="K46" s="1"/>
    </row>
    <row r="47" spans="1:11" ht="12.75">
      <c r="A47" s="3" t="s">
        <v>52</v>
      </c>
      <c r="B47" t="s">
        <v>53</v>
      </c>
      <c r="C47" s="59" t="s">
        <v>343</v>
      </c>
      <c r="D47" s="39">
        <v>1671483.7486765936</v>
      </c>
      <c r="E47" s="63">
        <v>0</v>
      </c>
      <c r="F47" s="14">
        <v>-961.7963503545704</v>
      </c>
      <c r="G47" s="112">
        <v>0</v>
      </c>
      <c r="H47" s="77">
        <f t="shared" si="0"/>
        <v>1670521.952326239</v>
      </c>
      <c r="I47" s="1"/>
      <c r="J47" s="1"/>
      <c r="K47" s="1"/>
    </row>
    <row r="48" spans="1:11" ht="12.75">
      <c r="A48" s="3" t="s">
        <v>54</v>
      </c>
      <c r="B48" t="s">
        <v>53</v>
      </c>
      <c r="C48" s="59" t="s">
        <v>344</v>
      </c>
      <c r="D48" s="39">
        <v>1127054.4532428756</v>
      </c>
      <c r="E48" s="63">
        <v>0</v>
      </c>
      <c r="F48" s="14">
        <v>-1088.5694624637074</v>
      </c>
      <c r="G48" s="112">
        <v>0</v>
      </c>
      <c r="H48" s="77">
        <f t="shared" si="0"/>
        <v>1125965.883780412</v>
      </c>
      <c r="I48" s="1"/>
      <c r="J48" s="1"/>
      <c r="K48" s="1"/>
    </row>
    <row r="49" spans="1:11" ht="12.75">
      <c r="A49" s="3" t="s">
        <v>55</v>
      </c>
      <c r="B49" t="s">
        <v>56</v>
      </c>
      <c r="C49" s="59" t="s">
        <v>345</v>
      </c>
      <c r="D49" s="39">
        <v>3267463.6759736803</v>
      </c>
      <c r="E49" s="63">
        <v>0</v>
      </c>
      <c r="F49" s="14">
        <v>-1411.172200297858</v>
      </c>
      <c r="G49" s="112">
        <v>0</v>
      </c>
      <c r="H49" s="77">
        <f t="shared" si="0"/>
        <v>3266052.5037733824</v>
      </c>
      <c r="I49" s="1"/>
      <c r="J49" s="1"/>
      <c r="K49" s="1"/>
    </row>
    <row r="50" spans="1:11" ht="12.75">
      <c r="A50" s="3" t="s">
        <v>57</v>
      </c>
      <c r="B50" t="s">
        <v>58</v>
      </c>
      <c r="C50" s="59" t="s">
        <v>346</v>
      </c>
      <c r="D50" s="39">
        <v>1102700.68</v>
      </c>
      <c r="E50" s="63">
        <v>0</v>
      </c>
      <c r="F50" s="14">
        <v>-1277.83941656368</v>
      </c>
      <c r="G50" s="112">
        <v>0</v>
      </c>
      <c r="H50" s="77">
        <f t="shared" si="0"/>
        <v>1101422.8405834362</v>
      </c>
      <c r="I50" s="1"/>
      <c r="J50" s="1"/>
      <c r="K50" s="1"/>
    </row>
    <row r="51" spans="1:11" ht="12.75">
      <c r="A51" s="3" t="s">
        <v>59</v>
      </c>
      <c r="B51" t="s">
        <v>60</v>
      </c>
      <c r="C51" s="59" t="s">
        <v>347</v>
      </c>
      <c r="D51" s="39">
        <v>27616162.893046647</v>
      </c>
      <c r="E51" s="63">
        <v>0</v>
      </c>
      <c r="F51" s="14">
        <v>-12836.024781932338</v>
      </c>
      <c r="G51" s="112">
        <v>0</v>
      </c>
      <c r="H51" s="77">
        <f t="shared" si="0"/>
        <v>27603326.868264716</v>
      </c>
      <c r="I51" s="1"/>
      <c r="J51" s="1"/>
      <c r="K51" s="1"/>
    </row>
    <row r="52" spans="1:11" ht="12.75">
      <c r="A52" s="3" t="s">
        <v>61</v>
      </c>
      <c r="B52" t="s">
        <v>62</v>
      </c>
      <c r="C52" s="59" t="s">
        <v>348</v>
      </c>
      <c r="D52" s="39">
        <v>279574447.4440866</v>
      </c>
      <c r="E52" s="63">
        <v>0</v>
      </c>
      <c r="F52" s="14">
        <v>-257501.1320294839</v>
      </c>
      <c r="G52" s="112">
        <v>0</v>
      </c>
      <c r="H52" s="77">
        <f t="shared" si="0"/>
        <v>279316946.31205714</v>
      </c>
      <c r="I52" s="1"/>
      <c r="J52" s="1"/>
      <c r="K52" s="1"/>
    </row>
    <row r="53" spans="1:11" ht="12.75">
      <c r="A53" s="3" t="s">
        <v>63</v>
      </c>
      <c r="B53" t="s">
        <v>64</v>
      </c>
      <c r="C53" s="59" t="s">
        <v>349</v>
      </c>
      <c r="D53" s="39">
        <v>849717.4403656069</v>
      </c>
      <c r="E53" s="63">
        <v>0</v>
      </c>
      <c r="F53" s="14">
        <v>-1028.5650965905008</v>
      </c>
      <c r="G53" s="112">
        <v>0</v>
      </c>
      <c r="H53" s="77">
        <f t="shared" si="0"/>
        <v>848688.8752690164</v>
      </c>
      <c r="I53" s="1"/>
      <c r="J53" s="1"/>
      <c r="K53" s="1"/>
    </row>
    <row r="54" spans="1:11" ht="12.75">
      <c r="A54" s="3" t="s">
        <v>65</v>
      </c>
      <c r="B54" t="s">
        <v>66</v>
      </c>
      <c r="C54" s="59" t="s">
        <v>350</v>
      </c>
      <c r="D54" s="39">
        <v>319440186.8497473</v>
      </c>
      <c r="E54" s="63">
        <v>52837.890000000014</v>
      </c>
      <c r="F54" s="14">
        <v>-175218.6374418839</v>
      </c>
      <c r="G54" s="112">
        <v>0</v>
      </c>
      <c r="H54" s="77">
        <f t="shared" si="0"/>
        <v>319317806.1023054</v>
      </c>
      <c r="I54" s="1"/>
      <c r="J54" s="1"/>
      <c r="K54" s="1"/>
    </row>
    <row r="55" spans="1:11" ht="12.75">
      <c r="A55" s="3" t="s">
        <v>67</v>
      </c>
      <c r="B55" t="s">
        <v>68</v>
      </c>
      <c r="C55" s="59" t="s">
        <v>351</v>
      </c>
      <c r="D55" s="39">
        <v>19917931.47374573</v>
      </c>
      <c r="E55" s="63">
        <v>73139.01000000001</v>
      </c>
      <c r="F55" s="14">
        <v>-19419.984655968936</v>
      </c>
      <c r="G55" s="112">
        <v>0</v>
      </c>
      <c r="H55" s="77">
        <f t="shared" si="0"/>
        <v>19971650.499089763</v>
      </c>
      <c r="I55" s="1"/>
      <c r="J55" s="1"/>
      <c r="K55" s="1"/>
    </row>
    <row r="56" spans="1:11" ht="12.75">
      <c r="A56" s="3" t="s">
        <v>69</v>
      </c>
      <c r="B56" t="s">
        <v>70</v>
      </c>
      <c r="C56" s="59" t="s">
        <v>352</v>
      </c>
      <c r="D56" s="39">
        <v>11784412.978599567</v>
      </c>
      <c r="E56" s="63">
        <v>0</v>
      </c>
      <c r="F56" s="14">
        <v>-6421.6730419802325</v>
      </c>
      <c r="G56" s="112">
        <v>0</v>
      </c>
      <c r="H56" s="77">
        <f t="shared" si="0"/>
        <v>11777991.305557586</v>
      </c>
      <c r="I56" s="1"/>
      <c r="J56" s="1"/>
      <c r="K56" s="1"/>
    </row>
    <row r="57" spans="1:11" ht="12.75">
      <c r="A57" s="3" t="s">
        <v>71</v>
      </c>
      <c r="B57" t="s">
        <v>70</v>
      </c>
      <c r="C57" s="59" t="s">
        <v>353</v>
      </c>
      <c r="D57" s="39">
        <v>2192790.0819159243</v>
      </c>
      <c r="E57" s="63">
        <v>0</v>
      </c>
      <c r="F57" s="14">
        <v>-1070.5361178362002</v>
      </c>
      <c r="G57" s="112">
        <v>0</v>
      </c>
      <c r="H57" s="77">
        <f t="shared" si="0"/>
        <v>2191719.545798088</v>
      </c>
      <c r="I57" s="1"/>
      <c r="J57" s="1"/>
      <c r="K57" s="1"/>
    </row>
    <row r="58" spans="1:11" ht="12.75">
      <c r="A58" s="3" t="s">
        <v>73</v>
      </c>
      <c r="B58" t="s">
        <v>70</v>
      </c>
      <c r="C58" s="59" t="s">
        <v>354</v>
      </c>
      <c r="D58" s="39">
        <v>2837309.018689639</v>
      </c>
      <c r="E58" s="63">
        <v>0</v>
      </c>
      <c r="F58" s="14">
        <v>-1178.7760470310116</v>
      </c>
      <c r="G58" s="112">
        <v>0</v>
      </c>
      <c r="H58" s="77">
        <f t="shared" si="0"/>
        <v>2836130.242642608</v>
      </c>
      <c r="I58" s="1"/>
      <c r="J58" s="1"/>
      <c r="K58" s="1"/>
    </row>
    <row r="59" spans="1:11" ht="12.75">
      <c r="A59" s="3" t="s">
        <v>74</v>
      </c>
      <c r="B59" t="s">
        <v>70</v>
      </c>
      <c r="C59" s="59" t="s">
        <v>355</v>
      </c>
      <c r="D59" s="39">
        <v>2346878.8272743956</v>
      </c>
      <c r="E59" s="63">
        <v>0</v>
      </c>
      <c r="F59" s="14">
        <v>-1004.2975180936285</v>
      </c>
      <c r="G59" s="112">
        <v>0</v>
      </c>
      <c r="H59" s="77">
        <f t="shared" si="0"/>
        <v>2345874.529756302</v>
      </c>
      <c r="I59" s="1"/>
      <c r="J59" s="1"/>
      <c r="K59" s="1"/>
    </row>
    <row r="60" spans="1:11" ht="12.75">
      <c r="A60" s="3" t="s">
        <v>75</v>
      </c>
      <c r="B60" t="s">
        <v>70</v>
      </c>
      <c r="C60" s="59" t="s">
        <v>356</v>
      </c>
      <c r="D60" s="39">
        <v>570689.5242441789</v>
      </c>
      <c r="E60" s="63">
        <v>0</v>
      </c>
      <c r="F60" s="14">
        <v>-314.6868528857529</v>
      </c>
      <c r="G60" s="112">
        <v>0</v>
      </c>
      <c r="H60" s="77">
        <f t="shared" si="0"/>
        <v>570374.8373912931</v>
      </c>
      <c r="I60" s="1"/>
      <c r="J60" s="1"/>
      <c r="K60" s="1"/>
    </row>
    <row r="61" spans="1:11" ht="12.75">
      <c r="A61" s="3" t="s">
        <v>76</v>
      </c>
      <c r="B61" t="s">
        <v>77</v>
      </c>
      <c r="C61" s="59" t="s">
        <v>357</v>
      </c>
      <c r="D61" s="39">
        <v>2956635.768894763</v>
      </c>
      <c r="E61" s="63">
        <v>-2439.64</v>
      </c>
      <c r="F61" s="14">
        <v>-1451.026057499675</v>
      </c>
      <c r="G61" s="112">
        <v>0</v>
      </c>
      <c r="H61" s="77">
        <f t="shared" si="0"/>
        <v>2952745.1028372636</v>
      </c>
      <c r="I61" s="1"/>
      <c r="J61" s="1"/>
      <c r="K61" s="1"/>
    </row>
    <row r="62" spans="1:11" ht="12.75">
      <c r="A62" s="3" t="s">
        <v>78</v>
      </c>
      <c r="B62" t="s">
        <v>77</v>
      </c>
      <c r="C62" s="59" t="s">
        <v>358</v>
      </c>
      <c r="D62" s="39">
        <v>82721522.3411085</v>
      </c>
      <c r="E62" s="63">
        <v>0</v>
      </c>
      <c r="F62" s="14">
        <v>-33086.97574332478</v>
      </c>
      <c r="G62" s="112">
        <v>0</v>
      </c>
      <c r="H62" s="77">
        <f t="shared" si="0"/>
        <v>82688435.36536518</v>
      </c>
      <c r="I62" s="1"/>
      <c r="J62" s="1"/>
      <c r="K62" s="1"/>
    </row>
    <row r="63" spans="1:11" ht="12.75">
      <c r="A63" s="3" t="s">
        <v>79</v>
      </c>
      <c r="B63" t="s">
        <v>77</v>
      </c>
      <c r="C63" s="59" t="s">
        <v>359</v>
      </c>
      <c r="D63" s="39">
        <v>60449618.46433608</v>
      </c>
      <c r="E63" s="63">
        <v>0</v>
      </c>
      <c r="F63" s="14">
        <v>-24305.273046118717</v>
      </c>
      <c r="G63" s="112">
        <v>0</v>
      </c>
      <c r="H63" s="77">
        <f t="shared" si="0"/>
        <v>60425313.19128996</v>
      </c>
      <c r="I63" s="1"/>
      <c r="J63" s="1"/>
      <c r="K63" s="1"/>
    </row>
    <row r="64" spans="1:11" ht="12.75">
      <c r="A64" s="3" t="s">
        <v>80</v>
      </c>
      <c r="B64" t="s">
        <v>77</v>
      </c>
      <c r="C64" s="59" t="s">
        <v>360</v>
      </c>
      <c r="D64" s="39">
        <v>56896225.56955951</v>
      </c>
      <c r="E64" s="63">
        <v>0</v>
      </c>
      <c r="F64" s="14">
        <v>-21040.773079287243</v>
      </c>
      <c r="G64" s="112">
        <v>0</v>
      </c>
      <c r="H64" s="77">
        <f t="shared" si="0"/>
        <v>56875184.79648022</v>
      </c>
      <c r="I64" s="1"/>
      <c r="J64" s="1"/>
      <c r="K64" s="1"/>
    </row>
    <row r="65" spans="1:11" ht="12.75">
      <c r="A65" s="3" t="s">
        <v>81</v>
      </c>
      <c r="B65" t="s">
        <v>77</v>
      </c>
      <c r="C65" s="59" t="s">
        <v>361</v>
      </c>
      <c r="D65" s="39">
        <v>143913506.66204366</v>
      </c>
      <c r="E65" s="63">
        <v>832262.2</v>
      </c>
      <c r="F65" s="14">
        <v>-73413.32471990427</v>
      </c>
      <c r="G65" s="112">
        <v>0</v>
      </c>
      <c r="H65" s="77">
        <f t="shared" si="0"/>
        <v>144672355.53732374</v>
      </c>
      <c r="I65" s="1"/>
      <c r="J65" s="1"/>
      <c r="K65" s="1"/>
    </row>
    <row r="66" spans="1:11" ht="12.75">
      <c r="A66" s="3" t="s">
        <v>82</v>
      </c>
      <c r="B66" t="s">
        <v>77</v>
      </c>
      <c r="C66" s="59" t="s">
        <v>362</v>
      </c>
      <c r="D66" s="39">
        <v>26836533.37786923</v>
      </c>
      <c r="E66" s="63">
        <v>0</v>
      </c>
      <c r="F66" s="14">
        <v>-13462.97374795662</v>
      </c>
      <c r="G66" s="112">
        <v>0</v>
      </c>
      <c r="H66" s="77">
        <f t="shared" si="0"/>
        <v>26823070.404121272</v>
      </c>
      <c r="I66" s="1"/>
      <c r="J66" s="1"/>
      <c r="K66" s="1"/>
    </row>
    <row r="67" spans="1:11" ht="12.75">
      <c r="A67" s="3" t="s">
        <v>83</v>
      </c>
      <c r="B67" t="s">
        <v>77</v>
      </c>
      <c r="C67" s="59" t="s">
        <v>363</v>
      </c>
      <c r="D67" s="39">
        <v>8810333.702777084</v>
      </c>
      <c r="E67" s="63">
        <v>0</v>
      </c>
      <c r="F67" s="14">
        <v>-4132.902079351928</v>
      </c>
      <c r="G67" s="112">
        <v>0</v>
      </c>
      <c r="H67" s="77">
        <f t="shared" si="0"/>
        <v>8806200.800697733</v>
      </c>
      <c r="I67" s="1"/>
      <c r="J67" s="1"/>
      <c r="K67" s="1"/>
    </row>
    <row r="68" spans="1:11" ht="12.75">
      <c r="A68" s="3" t="s">
        <v>84</v>
      </c>
      <c r="B68" t="s">
        <v>77</v>
      </c>
      <c r="C68" s="59" t="s">
        <v>364</v>
      </c>
      <c r="D68" s="39">
        <v>142000107.8268485</v>
      </c>
      <c r="E68" s="63">
        <v>0</v>
      </c>
      <c r="F68" s="14">
        <v>-66409.72873032917</v>
      </c>
      <c r="G68" s="112">
        <v>0</v>
      </c>
      <c r="H68" s="77">
        <f t="shared" si="0"/>
        <v>141933698.0981182</v>
      </c>
      <c r="I68" s="1"/>
      <c r="J68" s="1"/>
      <c r="K68" s="1"/>
    </row>
    <row r="69" spans="1:11" ht="12.75">
      <c r="A69" s="3" t="s">
        <v>85</v>
      </c>
      <c r="B69" t="s">
        <v>77</v>
      </c>
      <c r="C69" s="59" t="s">
        <v>365</v>
      </c>
      <c r="D69" s="39">
        <v>7837449.832123126</v>
      </c>
      <c r="E69" s="63">
        <v>0</v>
      </c>
      <c r="F69" s="14">
        <v>-3067.799194605764</v>
      </c>
      <c r="G69" s="112">
        <v>0</v>
      </c>
      <c r="H69" s="77">
        <f t="shared" si="0"/>
        <v>7834382.03292852</v>
      </c>
      <c r="I69" s="1"/>
      <c r="J69" s="1"/>
      <c r="K69" s="1"/>
    </row>
    <row r="70" spans="1:11" ht="12.75">
      <c r="A70" s="3" t="s">
        <v>86</v>
      </c>
      <c r="B70" t="s">
        <v>77</v>
      </c>
      <c r="C70" s="59" t="s">
        <v>366</v>
      </c>
      <c r="D70" s="39">
        <v>4301636.9371304475</v>
      </c>
      <c r="E70" s="63">
        <v>0</v>
      </c>
      <c r="F70" s="14">
        <v>-1926.0497731426872</v>
      </c>
      <c r="G70" s="112">
        <v>0</v>
      </c>
      <c r="H70" s="77">
        <f t="shared" si="0"/>
        <v>4299710.887357305</v>
      </c>
      <c r="I70" s="1"/>
      <c r="J70" s="1"/>
      <c r="K70" s="1"/>
    </row>
    <row r="71" spans="1:11" ht="12.75">
      <c r="A71" s="3" t="s">
        <v>87</v>
      </c>
      <c r="B71" t="s">
        <v>77</v>
      </c>
      <c r="C71" s="59" t="s">
        <v>367</v>
      </c>
      <c r="D71" s="39">
        <v>2676118.714240081</v>
      </c>
      <c r="E71" s="63">
        <v>0</v>
      </c>
      <c r="F71" s="14">
        <v>-1054.3394824116222</v>
      </c>
      <c r="G71" s="112">
        <v>0</v>
      </c>
      <c r="H71" s="77">
        <f t="shared" si="0"/>
        <v>2675064.3747576694</v>
      </c>
      <c r="I71" s="1"/>
      <c r="J71" s="1"/>
      <c r="K71" s="1"/>
    </row>
    <row r="72" spans="1:11" ht="12.75">
      <c r="A72" s="3" t="s">
        <v>88</v>
      </c>
      <c r="B72" t="s">
        <v>77</v>
      </c>
      <c r="C72" s="59" t="s">
        <v>368</v>
      </c>
      <c r="D72" s="39">
        <v>36502070.18461346</v>
      </c>
      <c r="E72" s="63">
        <v>0</v>
      </c>
      <c r="F72" s="14">
        <v>-17427.006861450078</v>
      </c>
      <c r="G72" s="112">
        <v>0</v>
      </c>
      <c r="H72" s="77">
        <f t="shared" si="0"/>
        <v>36484643.17775201</v>
      </c>
      <c r="I72" s="1"/>
      <c r="J72" s="1"/>
      <c r="K72" s="1"/>
    </row>
    <row r="73" spans="1:11" ht="12.75">
      <c r="A73" s="3" t="s">
        <v>89</v>
      </c>
      <c r="B73" t="s">
        <v>77</v>
      </c>
      <c r="C73" s="59" t="s">
        <v>369</v>
      </c>
      <c r="D73" s="39">
        <v>159090559.59251055</v>
      </c>
      <c r="E73" s="63">
        <v>0</v>
      </c>
      <c r="F73" s="14">
        <v>-64021.92044441273</v>
      </c>
      <c r="G73" s="112">
        <v>0</v>
      </c>
      <c r="H73" s="77">
        <f t="shared" si="0"/>
        <v>159026537.67206615</v>
      </c>
      <c r="I73" s="1"/>
      <c r="J73" s="1"/>
      <c r="K73" s="1"/>
    </row>
    <row r="74" spans="1:11" ht="12.75">
      <c r="A74" s="3" t="s">
        <v>90</v>
      </c>
      <c r="B74" t="s">
        <v>77</v>
      </c>
      <c r="C74" s="59" t="s">
        <v>370</v>
      </c>
      <c r="D74" s="39">
        <v>2474069.6555263926</v>
      </c>
      <c r="E74" s="63">
        <v>0</v>
      </c>
      <c r="F74" s="14">
        <v>-917.8808591652768</v>
      </c>
      <c r="G74" s="112">
        <v>0</v>
      </c>
      <c r="H74" s="77">
        <f t="shared" si="0"/>
        <v>2473151.774667227</v>
      </c>
      <c r="I74" s="1"/>
      <c r="J74" s="1"/>
      <c r="K74" s="1"/>
    </row>
    <row r="75" spans="1:11" ht="12.75">
      <c r="A75" s="3" t="s">
        <v>91</v>
      </c>
      <c r="B75" t="s">
        <v>77</v>
      </c>
      <c r="C75" s="59" t="s">
        <v>371</v>
      </c>
      <c r="D75" s="39">
        <v>2662449.130036582</v>
      </c>
      <c r="E75" s="63">
        <v>0</v>
      </c>
      <c r="F75" s="14">
        <v>-1115.3889281780787</v>
      </c>
      <c r="G75" s="112">
        <v>0</v>
      </c>
      <c r="H75" s="77">
        <f t="shared" si="0"/>
        <v>2661333.7411084035</v>
      </c>
      <c r="I75" s="1"/>
      <c r="J75" s="1"/>
      <c r="K75" s="1"/>
    </row>
    <row r="76" spans="1:11" ht="12.75">
      <c r="A76" s="3" t="s">
        <v>92</v>
      </c>
      <c r="B76" t="s">
        <v>93</v>
      </c>
      <c r="C76" s="59" t="s">
        <v>372</v>
      </c>
      <c r="D76" s="39">
        <v>20672857.2476587</v>
      </c>
      <c r="E76" s="63">
        <v>0</v>
      </c>
      <c r="F76" s="14">
        <v>-9824.550718360511</v>
      </c>
      <c r="G76" s="112">
        <v>0</v>
      </c>
      <c r="H76" s="77">
        <f t="shared" si="0"/>
        <v>20663032.69694034</v>
      </c>
      <c r="I76" s="1"/>
      <c r="J76" s="1"/>
      <c r="K76" s="1"/>
    </row>
    <row r="77" spans="1:11" ht="12.75">
      <c r="A77" s="3" t="s">
        <v>94</v>
      </c>
      <c r="B77" t="s">
        <v>93</v>
      </c>
      <c r="C77" s="59" t="s">
        <v>373</v>
      </c>
      <c r="D77" s="39">
        <v>8223031.895772726</v>
      </c>
      <c r="E77" s="63">
        <v>0</v>
      </c>
      <c r="F77" s="14">
        <v>-3767.39742626796</v>
      </c>
      <c r="G77" s="112">
        <v>0</v>
      </c>
      <c r="H77" s="77">
        <f t="shared" si="0"/>
        <v>8219264.498346458</v>
      </c>
      <c r="I77" s="1"/>
      <c r="J77" s="1"/>
      <c r="K77" s="1"/>
    </row>
    <row r="78" spans="1:11" ht="12.75">
      <c r="A78" s="3" t="s">
        <v>95</v>
      </c>
      <c r="B78" t="s">
        <v>93</v>
      </c>
      <c r="C78" s="59" t="s">
        <v>374</v>
      </c>
      <c r="D78" s="39">
        <v>1152373.4215664465</v>
      </c>
      <c r="E78" s="63">
        <v>0</v>
      </c>
      <c r="F78" s="14">
        <v>-930.8279032106883</v>
      </c>
      <c r="G78" s="112">
        <v>0</v>
      </c>
      <c r="H78" s="77">
        <f aca="true" t="shared" si="1" ref="H78:H141">SUM(D78:G78)</f>
        <v>1151442.593663236</v>
      </c>
      <c r="I78" s="1"/>
      <c r="J78" s="1"/>
      <c r="K78" s="1"/>
    </row>
    <row r="79" spans="1:11" ht="12.75">
      <c r="A79" s="3" t="s">
        <v>96</v>
      </c>
      <c r="B79" t="s">
        <v>97</v>
      </c>
      <c r="C79" s="59" t="s">
        <v>375</v>
      </c>
      <c r="D79" s="39">
        <v>21514364.118268207</v>
      </c>
      <c r="E79" s="63">
        <v>140069.3</v>
      </c>
      <c r="F79" s="14">
        <v>-16174.565568735285</v>
      </c>
      <c r="G79" s="112">
        <v>0</v>
      </c>
      <c r="H79" s="77">
        <f t="shared" si="1"/>
        <v>21638258.852699474</v>
      </c>
      <c r="I79" s="1"/>
      <c r="J79" s="1"/>
      <c r="K79" s="1"/>
    </row>
    <row r="80" spans="1:11" ht="12.75">
      <c r="A80" s="3" t="s">
        <v>98</v>
      </c>
      <c r="B80" t="s">
        <v>97</v>
      </c>
      <c r="C80" s="59" t="s">
        <v>376</v>
      </c>
      <c r="D80" s="39">
        <v>33237189.13932684</v>
      </c>
      <c r="E80" s="63">
        <v>0</v>
      </c>
      <c r="F80" s="14">
        <v>-12975.885076473967</v>
      </c>
      <c r="G80" s="112">
        <v>0</v>
      </c>
      <c r="H80" s="77">
        <f t="shared" si="1"/>
        <v>33224213.254250366</v>
      </c>
      <c r="I80" s="1"/>
      <c r="J80" s="1"/>
      <c r="K80" s="1"/>
    </row>
    <row r="81" spans="1:11" ht="12.75">
      <c r="A81" s="3" t="s">
        <v>99</v>
      </c>
      <c r="B81" t="s">
        <v>97</v>
      </c>
      <c r="C81" s="59" t="s">
        <v>377</v>
      </c>
      <c r="D81" s="39">
        <v>8290508.764011809</v>
      </c>
      <c r="E81" s="63">
        <v>0</v>
      </c>
      <c r="F81" s="14">
        <v>-3473.3742972642663</v>
      </c>
      <c r="G81" s="112">
        <v>0</v>
      </c>
      <c r="H81" s="77">
        <f t="shared" si="1"/>
        <v>8287035.389714545</v>
      </c>
      <c r="I81" s="1"/>
      <c r="J81" s="1"/>
      <c r="K81" s="1"/>
    </row>
    <row r="82" spans="1:11" ht="12.75">
      <c r="A82" s="3" t="s">
        <v>100</v>
      </c>
      <c r="B82" t="s">
        <v>101</v>
      </c>
      <c r="C82" s="59" t="s">
        <v>378</v>
      </c>
      <c r="D82" s="39">
        <v>2849463.9838217185</v>
      </c>
      <c r="E82" s="63">
        <v>0</v>
      </c>
      <c r="F82" s="14">
        <v>-1484.5049451694847</v>
      </c>
      <c r="G82" s="112">
        <v>0</v>
      </c>
      <c r="H82" s="77">
        <f t="shared" si="1"/>
        <v>2847979.478876549</v>
      </c>
      <c r="I82" s="1"/>
      <c r="J82" s="1"/>
      <c r="K82" s="1"/>
    </row>
    <row r="83" spans="1:11" ht="12.75">
      <c r="A83" s="3" t="s">
        <v>102</v>
      </c>
      <c r="B83" t="s">
        <v>103</v>
      </c>
      <c r="C83" s="59" t="s">
        <v>379</v>
      </c>
      <c r="D83" s="14">
        <v>2390917.283726001</v>
      </c>
      <c r="E83" s="63">
        <v>0</v>
      </c>
      <c r="F83" s="14">
        <v>-1456.115020114141</v>
      </c>
      <c r="G83" s="112">
        <v>0</v>
      </c>
      <c r="H83" s="77">
        <f t="shared" si="1"/>
        <v>2389461.168705887</v>
      </c>
      <c r="I83" s="1"/>
      <c r="J83" s="1"/>
      <c r="K83" s="1"/>
    </row>
    <row r="84" spans="1:11" ht="12.75">
      <c r="A84" s="3" t="s">
        <v>104</v>
      </c>
      <c r="B84" t="s">
        <v>103</v>
      </c>
      <c r="C84" s="59" t="s">
        <v>380</v>
      </c>
      <c r="D84" s="39">
        <v>3477676.8800959587</v>
      </c>
      <c r="E84" s="63">
        <v>-494.40999999999997</v>
      </c>
      <c r="F84" s="14">
        <v>-3674.950848308758</v>
      </c>
      <c r="G84" s="112">
        <v>0</v>
      </c>
      <c r="H84" s="77">
        <f t="shared" si="1"/>
        <v>3473507.5192476497</v>
      </c>
      <c r="I84" s="1"/>
      <c r="J84" s="1"/>
      <c r="K84" s="1"/>
    </row>
    <row r="85" spans="1:11" ht="12.75">
      <c r="A85" s="3" t="s">
        <v>105</v>
      </c>
      <c r="B85" t="s">
        <v>106</v>
      </c>
      <c r="C85" s="59" t="s">
        <v>381</v>
      </c>
      <c r="D85" s="39">
        <v>6945618.730088279</v>
      </c>
      <c r="E85" s="63">
        <v>0</v>
      </c>
      <c r="F85" s="14">
        <v>-5580.927528246209</v>
      </c>
      <c r="G85" s="112">
        <v>0</v>
      </c>
      <c r="H85" s="77">
        <f t="shared" si="1"/>
        <v>6940037.802560032</v>
      </c>
      <c r="I85" s="1"/>
      <c r="J85" s="1"/>
      <c r="K85" s="1"/>
    </row>
    <row r="86" spans="1:11" ht="12.75">
      <c r="A86" s="3" t="s">
        <v>107</v>
      </c>
      <c r="B86" t="s">
        <v>108</v>
      </c>
      <c r="C86" s="59" t="s">
        <v>382</v>
      </c>
      <c r="D86" s="39">
        <v>397990.1492008391</v>
      </c>
      <c r="E86" s="63">
        <v>0</v>
      </c>
      <c r="F86" s="14">
        <v>-506.11228326909827</v>
      </c>
      <c r="G86" s="112">
        <v>0</v>
      </c>
      <c r="H86" s="77">
        <f t="shared" si="1"/>
        <v>397484.03691757</v>
      </c>
      <c r="I86" s="1"/>
      <c r="J86" s="1"/>
      <c r="K86" s="1"/>
    </row>
    <row r="87" spans="1:11" ht="12.75">
      <c r="A87" s="3" t="s">
        <v>109</v>
      </c>
      <c r="B87" t="s">
        <v>110</v>
      </c>
      <c r="C87" s="59" t="s">
        <v>383</v>
      </c>
      <c r="D87" s="39">
        <v>2178111.362783552</v>
      </c>
      <c r="E87" s="63">
        <v>0</v>
      </c>
      <c r="F87" s="14">
        <v>-1618.669184567859</v>
      </c>
      <c r="G87" s="112">
        <v>0</v>
      </c>
      <c r="H87" s="77">
        <f t="shared" si="1"/>
        <v>2176492.6935989843</v>
      </c>
      <c r="I87" s="1"/>
      <c r="J87" s="1"/>
      <c r="K87" s="1"/>
    </row>
    <row r="88" spans="1:11" ht="12.75">
      <c r="A88" s="3" t="s">
        <v>111</v>
      </c>
      <c r="B88" t="s">
        <v>110</v>
      </c>
      <c r="C88" s="59" t="s">
        <v>384</v>
      </c>
      <c r="D88" s="39">
        <v>1650954.191437178</v>
      </c>
      <c r="E88" s="63">
        <v>0</v>
      </c>
      <c r="F88" s="14">
        <v>-912.4613787627524</v>
      </c>
      <c r="G88" s="112">
        <v>0</v>
      </c>
      <c r="H88" s="77">
        <f t="shared" si="1"/>
        <v>1650041.7300584153</v>
      </c>
      <c r="I88" s="1"/>
      <c r="J88" s="1"/>
      <c r="K88" s="1"/>
    </row>
    <row r="89" spans="1:11" ht="12.75">
      <c r="A89" s="3" t="s">
        <v>112</v>
      </c>
      <c r="B89" t="s">
        <v>113</v>
      </c>
      <c r="C89" s="59" t="s">
        <v>385</v>
      </c>
      <c r="D89" s="39">
        <v>721773.8342639694</v>
      </c>
      <c r="E89" s="63">
        <v>0</v>
      </c>
      <c r="F89" s="14">
        <v>-835.5754853363233</v>
      </c>
      <c r="G89" s="112">
        <v>0</v>
      </c>
      <c r="H89" s="77">
        <f t="shared" si="1"/>
        <v>720938.2587786331</v>
      </c>
      <c r="I89" s="1"/>
      <c r="J89" s="1"/>
      <c r="K89" s="1"/>
    </row>
    <row r="90" spans="1:11" ht="12.75">
      <c r="A90" s="3" t="s">
        <v>114</v>
      </c>
      <c r="B90" t="s">
        <v>115</v>
      </c>
      <c r="C90" s="59" t="s">
        <v>386</v>
      </c>
      <c r="D90" s="39">
        <v>368253643.7516308</v>
      </c>
      <c r="E90" s="63">
        <v>139190.87</v>
      </c>
      <c r="F90" s="14">
        <v>-223483.07866974853</v>
      </c>
      <c r="G90" s="112">
        <v>0</v>
      </c>
      <c r="H90" s="77">
        <f t="shared" si="1"/>
        <v>368169351.54296106</v>
      </c>
      <c r="I90" s="1"/>
      <c r="J90" s="1"/>
      <c r="K90" s="1"/>
    </row>
    <row r="91" spans="1:11" ht="12.75">
      <c r="A91" s="3" t="s">
        <v>116</v>
      </c>
      <c r="B91" t="s">
        <v>72</v>
      </c>
      <c r="C91" s="59" t="s">
        <v>387</v>
      </c>
      <c r="D91" s="39">
        <v>1722081.8357885845</v>
      </c>
      <c r="E91" s="63">
        <v>0</v>
      </c>
      <c r="F91" s="14">
        <v>-791.0479437511782</v>
      </c>
      <c r="G91" s="112">
        <v>0</v>
      </c>
      <c r="H91" s="77">
        <f t="shared" si="1"/>
        <v>1721290.7878448335</v>
      </c>
      <c r="I91" s="1"/>
      <c r="J91" s="1"/>
      <c r="K91" s="1"/>
    </row>
    <row r="92" spans="1:11" ht="12.75">
      <c r="A92" s="3" t="s">
        <v>117</v>
      </c>
      <c r="B92" t="s">
        <v>72</v>
      </c>
      <c r="C92" s="59" t="s">
        <v>388</v>
      </c>
      <c r="D92" s="39">
        <v>513610.4517473906</v>
      </c>
      <c r="E92" s="63">
        <v>0</v>
      </c>
      <c r="F92" s="14">
        <v>-314.0933286003698</v>
      </c>
      <c r="G92" s="112">
        <v>0</v>
      </c>
      <c r="H92" s="77">
        <f t="shared" si="1"/>
        <v>513296.3584187903</v>
      </c>
      <c r="I92" s="1"/>
      <c r="J92" s="1"/>
      <c r="K92" s="1"/>
    </row>
    <row r="93" spans="1:11" ht="12.75">
      <c r="A93" s="3" t="s">
        <v>118</v>
      </c>
      <c r="B93" t="s">
        <v>44</v>
      </c>
      <c r="C93" s="59" t="s">
        <v>389</v>
      </c>
      <c r="D93" s="39">
        <v>1245957.1878996822</v>
      </c>
      <c r="E93" s="63">
        <v>0</v>
      </c>
      <c r="F93" s="14">
        <v>-756.2094431490748</v>
      </c>
      <c r="G93" s="112">
        <v>0</v>
      </c>
      <c r="H93" s="77">
        <f t="shared" si="1"/>
        <v>1245200.978456533</v>
      </c>
      <c r="I93" s="1"/>
      <c r="J93" s="1"/>
      <c r="K93" s="1"/>
    </row>
    <row r="94" spans="1:11" ht="12.75">
      <c r="A94" s="3" t="s">
        <v>119</v>
      </c>
      <c r="B94" t="s">
        <v>44</v>
      </c>
      <c r="C94" s="59" t="s">
        <v>390</v>
      </c>
      <c r="D94" s="39">
        <v>930293.3733507575</v>
      </c>
      <c r="E94" s="63">
        <v>0</v>
      </c>
      <c r="F94" s="14">
        <v>-575.2537842210005</v>
      </c>
      <c r="G94" s="112">
        <v>0</v>
      </c>
      <c r="H94" s="77">
        <f t="shared" si="1"/>
        <v>929718.1195665365</v>
      </c>
      <c r="I94" s="1"/>
      <c r="J94" s="1"/>
      <c r="K94" s="1"/>
    </row>
    <row r="95" spans="1:11" ht="12.75">
      <c r="A95" s="3" t="s">
        <v>120</v>
      </c>
      <c r="B95" t="s">
        <v>44</v>
      </c>
      <c r="C95" s="59" t="s">
        <v>391</v>
      </c>
      <c r="D95" s="39">
        <v>1927583.8347225352</v>
      </c>
      <c r="E95" s="63">
        <v>0</v>
      </c>
      <c r="F95" s="14">
        <v>-910.8213237441424</v>
      </c>
      <c r="G95" s="112">
        <v>0</v>
      </c>
      <c r="H95" s="77">
        <f t="shared" si="1"/>
        <v>1926673.013398791</v>
      </c>
      <c r="I95" s="1"/>
      <c r="J95" s="1"/>
      <c r="K95" s="1"/>
    </row>
    <row r="96" spans="1:11" ht="12.75">
      <c r="A96" s="3" t="s">
        <v>121</v>
      </c>
      <c r="B96" t="s">
        <v>44</v>
      </c>
      <c r="C96" s="59" t="s">
        <v>392</v>
      </c>
      <c r="D96" s="39">
        <v>1145512.1216461645</v>
      </c>
      <c r="E96" s="63">
        <v>0</v>
      </c>
      <c r="F96" s="14">
        <v>-560.3034299021379</v>
      </c>
      <c r="G96" s="112">
        <v>0</v>
      </c>
      <c r="H96" s="77">
        <f t="shared" si="1"/>
        <v>1144951.8182162624</v>
      </c>
      <c r="I96" s="1"/>
      <c r="J96" s="1"/>
      <c r="K96" s="1"/>
    </row>
    <row r="97" spans="1:11" ht="12.75">
      <c r="A97" s="3" t="s">
        <v>122</v>
      </c>
      <c r="B97" t="s">
        <v>44</v>
      </c>
      <c r="C97" s="59" t="s">
        <v>393</v>
      </c>
      <c r="D97" s="39">
        <v>3324638.5329404306</v>
      </c>
      <c r="E97" s="63">
        <v>0</v>
      </c>
      <c r="F97" s="14">
        <v>-2118.880675258082</v>
      </c>
      <c r="G97" s="112">
        <v>0</v>
      </c>
      <c r="H97" s="77">
        <f t="shared" si="1"/>
        <v>3322519.6522651725</v>
      </c>
      <c r="I97" s="1"/>
      <c r="J97" s="1"/>
      <c r="K97" s="1"/>
    </row>
    <row r="98" spans="1:11" ht="12.75">
      <c r="A98" s="3" t="s">
        <v>123</v>
      </c>
      <c r="B98" t="s">
        <v>124</v>
      </c>
      <c r="C98" s="59" t="s">
        <v>394</v>
      </c>
      <c r="D98" s="39">
        <v>3417447.342224641</v>
      </c>
      <c r="E98" s="63">
        <v>0</v>
      </c>
      <c r="F98" s="14">
        <v>-2903.7444215814553</v>
      </c>
      <c r="G98" s="112">
        <v>0</v>
      </c>
      <c r="H98" s="77">
        <f t="shared" si="1"/>
        <v>3414543.5978030595</v>
      </c>
      <c r="I98" s="1"/>
      <c r="J98" s="1"/>
      <c r="K98" s="1"/>
    </row>
    <row r="99" spans="1:11" ht="12.75">
      <c r="A99" s="3" t="s">
        <v>125</v>
      </c>
      <c r="B99" t="s">
        <v>126</v>
      </c>
      <c r="C99" s="59" t="s">
        <v>395</v>
      </c>
      <c r="D99" s="39">
        <v>31052463.864662956</v>
      </c>
      <c r="E99" s="63">
        <v>80422.23</v>
      </c>
      <c r="F99" s="14">
        <v>-14394.952181993609</v>
      </c>
      <c r="G99" s="112">
        <v>0</v>
      </c>
      <c r="H99" s="77">
        <f t="shared" si="1"/>
        <v>31118491.142480962</v>
      </c>
      <c r="I99" s="1"/>
      <c r="J99" s="1"/>
      <c r="K99" s="1"/>
    </row>
    <row r="100" spans="1:11" ht="12.75">
      <c r="A100" s="3" t="s">
        <v>127</v>
      </c>
      <c r="B100" t="s">
        <v>126</v>
      </c>
      <c r="C100" s="59" t="s">
        <v>396</v>
      </c>
      <c r="D100" s="39">
        <v>9358637.50415381</v>
      </c>
      <c r="E100" s="63">
        <v>0</v>
      </c>
      <c r="F100" s="14">
        <v>-3989.229104898657</v>
      </c>
      <c r="G100" s="112">
        <v>0</v>
      </c>
      <c r="H100" s="77">
        <f t="shared" si="1"/>
        <v>9354648.275048912</v>
      </c>
      <c r="I100" s="1"/>
      <c r="J100" s="1"/>
      <c r="K100" s="1"/>
    </row>
    <row r="101" spans="1:11" ht="12.75">
      <c r="A101" s="3" t="s">
        <v>128</v>
      </c>
      <c r="B101" t="s">
        <v>126</v>
      </c>
      <c r="C101" s="59" t="s">
        <v>397</v>
      </c>
      <c r="D101" s="39">
        <v>6979939.035621544</v>
      </c>
      <c r="E101" s="63">
        <v>0</v>
      </c>
      <c r="F101" s="14">
        <v>-2682.3376094803775</v>
      </c>
      <c r="G101" s="112">
        <v>0</v>
      </c>
      <c r="H101" s="77">
        <f t="shared" si="1"/>
        <v>6977256.698012064</v>
      </c>
      <c r="I101" s="1"/>
      <c r="J101" s="1"/>
      <c r="K101" s="1"/>
    </row>
    <row r="102" spans="1:11" ht="12.75">
      <c r="A102" s="3" t="s">
        <v>129</v>
      </c>
      <c r="B102" t="s">
        <v>130</v>
      </c>
      <c r="C102" s="59" t="s">
        <v>398</v>
      </c>
      <c r="D102" s="39">
        <v>125618612.11248411</v>
      </c>
      <c r="E102" s="63">
        <v>0</v>
      </c>
      <c r="F102" s="14">
        <v>-77596.9371663509</v>
      </c>
      <c r="G102" s="112">
        <v>0</v>
      </c>
      <c r="H102" s="77">
        <f t="shared" si="1"/>
        <v>125541015.17531776</v>
      </c>
      <c r="I102" s="1"/>
      <c r="J102" s="1"/>
      <c r="K102" s="1"/>
    </row>
    <row r="103" spans="1:11" ht="12.75">
      <c r="A103" s="3" t="s">
        <v>131</v>
      </c>
      <c r="B103" t="s">
        <v>130</v>
      </c>
      <c r="C103" s="59" t="s">
        <v>399</v>
      </c>
      <c r="D103" s="39">
        <v>68723429.88993315</v>
      </c>
      <c r="E103" s="63">
        <v>0</v>
      </c>
      <c r="F103" s="14">
        <v>-40948.441190849066</v>
      </c>
      <c r="G103" s="112">
        <v>0</v>
      </c>
      <c r="H103" s="77">
        <f t="shared" si="1"/>
        <v>68682481.4487423</v>
      </c>
      <c r="I103" s="1"/>
      <c r="J103" s="1"/>
      <c r="K103" s="1"/>
    </row>
    <row r="104" spans="1:11" ht="12.75">
      <c r="A104" s="3" t="s">
        <v>132</v>
      </c>
      <c r="B104" t="s">
        <v>130</v>
      </c>
      <c r="C104" s="59" t="s">
        <v>400</v>
      </c>
      <c r="D104" s="39">
        <v>320992.0956294448</v>
      </c>
      <c r="E104" s="63">
        <v>0</v>
      </c>
      <c r="F104" s="14">
        <v>-3148.6505461763363</v>
      </c>
      <c r="G104" s="112">
        <v>0</v>
      </c>
      <c r="H104" s="77">
        <f t="shared" si="1"/>
        <v>317843.44508326845</v>
      </c>
      <c r="I104" s="1"/>
      <c r="J104" s="1"/>
      <c r="K104" s="1"/>
    </row>
    <row r="105" spans="1:11" ht="12.75">
      <c r="A105" s="3" t="s">
        <v>133</v>
      </c>
      <c r="B105" t="s">
        <v>34</v>
      </c>
      <c r="C105" s="59" t="s">
        <v>401</v>
      </c>
      <c r="D105" s="39">
        <v>7109701.078748178</v>
      </c>
      <c r="E105" s="63">
        <v>0</v>
      </c>
      <c r="F105" s="14">
        <v>-3085.592095190939</v>
      </c>
      <c r="G105" s="112">
        <v>0</v>
      </c>
      <c r="H105" s="77">
        <f t="shared" si="1"/>
        <v>7106615.486652987</v>
      </c>
      <c r="I105" s="1"/>
      <c r="J105" s="1"/>
      <c r="K105" s="1"/>
    </row>
    <row r="106" spans="1:11" ht="12.75">
      <c r="A106" s="3" t="s">
        <v>134</v>
      </c>
      <c r="B106" t="s">
        <v>34</v>
      </c>
      <c r="C106" s="59" t="s">
        <v>402</v>
      </c>
      <c r="D106" s="39">
        <v>2183466.7050627866</v>
      </c>
      <c r="E106" s="63">
        <v>0</v>
      </c>
      <c r="F106" s="14">
        <v>-851.3886972360582</v>
      </c>
      <c r="G106" s="112">
        <v>0</v>
      </c>
      <c r="H106" s="77">
        <f t="shared" si="1"/>
        <v>2182615.3163655507</v>
      </c>
      <c r="I106" s="1"/>
      <c r="J106" s="1"/>
      <c r="K106" s="1"/>
    </row>
    <row r="107" spans="1:11" ht="12.75">
      <c r="A107" s="3" t="s">
        <v>135</v>
      </c>
      <c r="B107" t="s">
        <v>34</v>
      </c>
      <c r="C107" s="59" t="s">
        <v>403</v>
      </c>
      <c r="D107" s="39">
        <v>2368389.133294415</v>
      </c>
      <c r="E107" s="63">
        <v>0</v>
      </c>
      <c r="F107" s="14">
        <v>-1253.9533292641213</v>
      </c>
      <c r="G107" s="112">
        <v>0</v>
      </c>
      <c r="H107" s="77">
        <f t="shared" si="1"/>
        <v>2367135.179965151</v>
      </c>
      <c r="I107" s="1"/>
      <c r="J107" s="1"/>
      <c r="K107" s="1"/>
    </row>
    <row r="108" spans="1:11" ht="12.75">
      <c r="A108" s="3" t="s">
        <v>136</v>
      </c>
      <c r="B108" t="s">
        <v>34</v>
      </c>
      <c r="C108" s="59" t="s">
        <v>404</v>
      </c>
      <c r="D108" s="39">
        <v>1291108.7987848339</v>
      </c>
      <c r="E108" s="63">
        <v>0</v>
      </c>
      <c r="F108" s="14">
        <v>-581.5160878580855</v>
      </c>
      <c r="G108" s="112">
        <v>0</v>
      </c>
      <c r="H108" s="77">
        <f t="shared" si="1"/>
        <v>1290527.2826969759</v>
      </c>
      <c r="I108" s="1"/>
      <c r="J108" s="1"/>
      <c r="K108" s="1"/>
    </row>
    <row r="109" spans="1:11" ht="12.75">
      <c r="A109" s="3" t="s">
        <v>137</v>
      </c>
      <c r="B109" t="s">
        <v>34</v>
      </c>
      <c r="C109" s="59" t="s">
        <v>405</v>
      </c>
      <c r="D109" s="39">
        <v>3183447.9315866926</v>
      </c>
      <c r="E109" s="63">
        <v>0</v>
      </c>
      <c r="F109" s="14">
        <v>-1225.930402949624</v>
      </c>
      <c r="G109" s="112">
        <v>0</v>
      </c>
      <c r="H109" s="77">
        <f t="shared" si="1"/>
        <v>3182222.001183743</v>
      </c>
      <c r="I109" s="1"/>
      <c r="J109" s="1"/>
      <c r="K109" s="1"/>
    </row>
    <row r="110" spans="1:11" ht="12.75">
      <c r="A110" s="3" t="s">
        <v>138</v>
      </c>
      <c r="B110" t="s">
        <v>34</v>
      </c>
      <c r="C110" s="59" t="s">
        <v>406</v>
      </c>
      <c r="D110" s="39">
        <v>576272.8027461797</v>
      </c>
      <c r="E110" s="63">
        <v>0</v>
      </c>
      <c r="F110" s="14">
        <v>-273.3955485746727</v>
      </c>
      <c r="G110" s="112">
        <v>0</v>
      </c>
      <c r="H110" s="77">
        <f t="shared" si="1"/>
        <v>575999.4071976051</v>
      </c>
      <c r="I110" s="1"/>
      <c r="J110" s="1"/>
      <c r="K110" s="1"/>
    </row>
    <row r="111" spans="1:11" ht="12.75">
      <c r="A111" s="3" t="s">
        <v>139</v>
      </c>
      <c r="B111" t="s">
        <v>140</v>
      </c>
      <c r="C111" s="59" t="s">
        <v>407</v>
      </c>
      <c r="D111" s="39">
        <v>1194423.2394304557</v>
      </c>
      <c r="E111" s="63">
        <v>0</v>
      </c>
      <c r="F111" s="14">
        <v>-857.3112013960305</v>
      </c>
      <c r="G111" s="113">
        <v>0</v>
      </c>
      <c r="H111" s="77">
        <f t="shared" si="1"/>
        <v>1193565.9282290598</v>
      </c>
      <c r="I111" s="1"/>
      <c r="J111" s="1"/>
      <c r="K111" s="1"/>
    </row>
    <row r="112" spans="1:11" ht="12.75">
      <c r="A112" s="3" t="s">
        <v>141</v>
      </c>
      <c r="B112" t="s">
        <v>140</v>
      </c>
      <c r="C112" s="59" t="s">
        <v>408</v>
      </c>
      <c r="D112" s="39">
        <v>2576876.4571662834</v>
      </c>
      <c r="E112" s="63">
        <v>0</v>
      </c>
      <c r="F112" s="14">
        <v>-1510.8375663836398</v>
      </c>
      <c r="G112" s="112">
        <v>0</v>
      </c>
      <c r="H112" s="77">
        <f t="shared" si="1"/>
        <v>2575365.6195998997</v>
      </c>
      <c r="I112" s="1"/>
      <c r="J112" s="1"/>
      <c r="K112" s="1"/>
    </row>
    <row r="113" spans="1:11" ht="12.75">
      <c r="A113" s="3" t="s">
        <v>142</v>
      </c>
      <c r="B113" t="s">
        <v>140</v>
      </c>
      <c r="C113" s="59" t="s">
        <v>409</v>
      </c>
      <c r="D113" s="39">
        <v>645771.4568274653</v>
      </c>
      <c r="E113" s="63">
        <v>0</v>
      </c>
      <c r="F113" s="14">
        <v>-293.89265863157294</v>
      </c>
      <c r="G113" s="112">
        <v>0</v>
      </c>
      <c r="H113" s="77">
        <f t="shared" si="1"/>
        <v>645477.5641688338</v>
      </c>
      <c r="I113" s="1"/>
      <c r="J113" s="1"/>
      <c r="K113" s="1"/>
    </row>
    <row r="114" spans="1:11" ht="12.75">
      <c r="A114" s="3" t="s">
        <v>143</v>
      </c>
      <c r="B114" t="s">
        <v>144</v>
      </c>
      <c r="C114" s="59" t="s">
        <v>410</v>
      </c>
      <c r="D114" s="39">
        <v>10683701.345117081</v>
      </c>
      <c r="E114" s="63">
        <v>0</v>
      </c>
      <c r="F114" s="14">
        <v>-5834.432554986472</v>
      </c>
      <c r="G114" s="112">
        <v>0</v>
      </c>
      <c r="H114" s="77">
        <f t="shared" si="1"/>
        <v>10677866.912562095</v>
      </c>
      <c r="I114" s="1"/>
      <c r="J114" s="1"/>
      <c r="K114" s="1"/>
    </row>
    <row r="115" spans="1:11" ht="12.75">
      <c r="A115" s="3" t="s">
        <v>145</v>
      </c>
      <c r="B115" t="s">
        <v>144</v>
      </c>
      <c r="C115" s="59" t="s">
        <v>411</v>
      </c>
      <c r="D115" s="39">
        <v>1288146.3261016752</v>
      </c>
      <c r="E115" s="63">
        <v>0</v>
      </c>
      <c r="F115" s="14">
        <v>-848.4688036613776</v>
      </c>
      <c r="G115" s="112">
        <v>0</v>
      </c>
      <c r="H115" s="77">
        <f t="shared" si="1"/>
        <v>1287297.8572980138</v>
      </c>
      <c r="I115" s="1"/>
      <c r="J115" s="1"/>
      <c r="K115" s="1"/>
    </row>
    <row r="116" spans="1:11" ht="12.75">
      <c r="A116" s="3" t="s">
        <v>146</v>
      </c>
      <c r="B116" t="s">
        <v>144</v>
      </c>
      <c r="C116" s="59" t="s">
        <v>412</v>
      </c>
      <c r="D116" s="39">
        <v>2554731.2979398062</v>
      </c>
      <c r="E116" s="63">
        <v>0</v>
      </c>
      <c r="F116" s="14">
        <v>-1134.9822063822455</v>
      </c>
      <c r="G116" s="112">
        <v>0</v>
      </c>
      <c r="H116" s="77">
        <f t="shared" si="1"/>
        <v>2553596.315733424</v>
      </c>
      <c r="I116" s="1"/>
      <c r="J116" s="1"/>
      <c r="K116" s="1"/>
    </row>
    <row r="117" spans="1:11" ht="12.75">
      <c r="A117" s="3" t="s">
        <v>147</v>
      </c>
      <c r="B117" t="s">
        <v>144</v>
      </c>
      <c r="C117" s="59" t="s">
        <v>413</v>
      </c>
      <c r="D117" s="39">
        <v>1011284.9671675414</v>
      </c>
      <c r="E117" s="63">
        <v>0</v>
      </c>
      <c r="F117" s="14">
        <v>-763.7549621324174</v>
      </c>
      <c r="G117" s="112">
        <v>0</v>
      </c>
      <c r="H117" s="77">
        <f t="shared" si="1"/>
        <v>1010521.212205409</v>
      </c>
      <c r="I117" s="1"/>
      <c r="J117" s="1"/>
      <c r="K117" s="1"/>
    </row>
    <row r="118" spans="1:11" ht="12.75">
      <c r="A118" s="3" t="s">
        <v>148</v>
      </c>
      <c r="B118" t="s">
        <v>149</v>
      </c>
      <c r="C118" s="59" t="s">
        <v>414</v>
      </c>
      <c r="D118" s="39">
        <v>1147400.9711898002</v>
      </c>
      <c r="E118" s="63">
        <v>0</v>
      </c>
      <c r="F118" s="14">
        <v>-784.9936778120735</v>
      </c>
      <c r="G118" s="112">
        <v>0</v>
      </c>
      <c r="H118" s="77">
        <f t="shared" si="1"/>
        <v>1146615.977511988</v>
      </c>
      <c r="I118" s="1"/>
      <c r="J118" s="1"/>
      <c r="K118" s="1"/>
    </row>
    <row r="119" spans="1:11" ht="12.75">
      <c r="A119" s="3" t="s">
        <v>150</v>
      </c>
      <c r="B119" t="s">
        <v>149</v>
      </c>
      <c r="C119" s="59" t="s">
        <v>415</v>
      </c>
      <c r="D119" s="39">
        <v>2052197.0209432913</v>
      </c>
      <c r="E119" s="63">
        <v>0</v>
      </c>
      <c r="F119" s="14">
        <v>-1398.9499066222013</v>
      </c>
      <c r="G119" s="112">
        <v>0</v>
      </c>
      <c r="H119" s="77">
        <f t="shared" si="1"/>
        <v>2050798.071036669</v>
      </c>
      <c r="I119" s="1"/>
      <c r="J119" s="1"/>
      <c r="K119" s="1"/>
    </row>
    <row r="120" spans="1:11" ht="12.75">
      <c r="A120" s="3" t="s">
        <v>151</v>
      </c>
      <c r="B120" t="s">
        <v>149</v>
      </c>
      <c r="C120" s="59" t="s">
        <v>416</v>
      </c>
      <c r="D120" s="39">
        <v>116135960.65726294</v>
      </c>
      <c r="E120" s="63">
        <v>0</v>
      </c>
      <c r="F120" s="14">
        <v>-56817.91947747682</v>
      </c>
      <c r="G120" s="112">
        <v>0</v>
      </c>
      <c r="H120" s="77">
        <f t="shared" si="1"/>
        <v>116079142.73778546</v>
      </c>
      <c r="I120" s="1"/>
      <c r="J120" s="1"/>
      <c r="K120" s="1"/>
    </row>
    <row r="121" spans="1:11" ht="12.75">
      <c r="A121" s="3" t="s">
        <v>152</v>
      </c>
      <c r="B121" t="s">
        <v>153</v>
      </c>
      <c r="C121" s="59" t="s">
        <v>417</v>
      </c>
      <c r="D121" s="39">
        <v>543722.6489167638</v>
      </c>
      <c r="E121" s="63">
        <v>0</v>
      </c>
      <c r="F121" s="14">
        <v>-521.4600433837854</v>
      </c>
      <c r="G121" s="112">
        <v>0</v>
      </c>
      <c r="H121" s="77">
        <f t="shared" si="1"/>
        <v>543201.1888733801</v>
      </c>
      <c r="I121" s="1"/>
      <c r="J121" s="1"/>
      <c r="K121" s="1"/>
    </row>
    <row r="122" spans="1:11" ht="12.75">
      <c r="A122" s="3" t="s">
        <v>154</v>
      </c>
      <c r="B122" t="s">
        <v>155</v>
      </c>
      <c r="C122" s="59" t="s">
        <v>418</v>
      </c>
      <c r="D122" s="39">
        <v>7222379.40371028</v>
      </c>
      <c r="E122" s="63">
        <v>0</v>
      </c>
      <c r="F122" s="14">
        <v>-5676.209438986934</v>
      </c>
      <c r="G122" s="112">
        <v>0</v>
      </c>
      <c r="H122" s="77">
        <f t="shared" si="1"/>
        <v>7216703.194271293</v>
      </c>
      <c r="I122" s="1"/>
      <c r="J122" s="1"/>
      <c r="K122" s="1"/>
    </row>
    <row r="123" spans="1:11" ht="12.75">
      <c r="A123" s="3" t="s">
        <v>156</v>
      </c>
      <c r="B123" t="s">
        <v>157</v>
      </c>
      <c r="C123" s="59" t="s">
        <v>419</v>
      </c>
      <c r="D123" s="39">
        <v>9925375.269318188</v>
      </c>
      <c r="E123" s="63">
        <v>0</v>
      </c>
      <c r="F123" s="14">
        <v>-7421.8611817927185</v>
      </c>
      <c r="G123" s="112">
        <v>0</v>
      </c>
      <c r="H123" s="77">
        <f t="shared" si="1"/>
        <v>9917953.408136396</v>
      </c>
      <c r="I123" s="1"/>
      <c r="J123" s="1"/>
      <c r="K123" s="1"/>
    </row>
    <row r="124" spans="1:11" ht="12.75">
      <c r="A124" s="3" t="s">
        <v>158</v>
      </c>
      <c r="B124" t="s">
        <v>157</v>
      </c>
      <c r="C124" s="59" t="s">
        <v>420</v>
      </c>
      <c r="D124" s="39">
        <v>4692904.163495118</v>
      </c>
      <c r="E124" s="63">
        <v>0</v>
      </c>
      <c r="F124" s="14">
        <v>-2092.090379398885</v>
      </c>
      <c r="G124" s="112">
        <v>0</v>
      </c>
      <c r="H124" s="77">
        <f t="shared" si="1"/>
        <v>4690812.073115719</v>
      </c>
      <c r="I124" s="1"/>
      <c r="J124" s="1"/>
      <c r="K124" s="1"/>
    </row>
    <row r="125" spans="1:11" ht="12.75">
      <c r="A125" s="3" t="s">
        <v>159</v>
      </c>
      <c r="B125" t="s">
        <v>157</v>
      </c>
      <c r="C125" s="59" t="s">
        <v>421</v>
      </c>
      <c r="D125" s="39">
        <v>3344420.604569525</v>
      </c>
      <c r="E125" s="63">
        <v>0</v>
      </c>
      <c r="F125" s="14">
        <v>-1446.586684370597</v>
      </c>
      <c r="G125" s="112">
        <v>0</v>
      </c>
      <c r="H125" s="77">
        <f t="shared" si="1"/>
        <v>3342974.0178851546</v>
      </c>
      <c r="I125" s="1"/>
      <c r="J125" s="1"/>
      <c r="K125" s="1"/>
    </row>
    <row r="126" spans="1:11" ht="12.75">
      <c r="A126" s="3" t="s">
        <v>160</v>
      </c>
      <c r="B126" t="s">
        <v>161</v>
      </c>
      <c r="C126" s="59" t="s">
        <v>422</v>
      </c>
      <c r="D126" s="39">
        <v>35123811.44912227</v>
      </c>
      <c r="E126" s="63">
        <v>0</v>
      </c>
      <c r="F126" s="14">
        <v>-16604.650339457337</v>
      </c>
      <c r="G126" s="112">
        <v>0</v>
      </c>
      <c r="H126" s="77">
        <f t="shared" si="1"/>
        <v>35107206.79878282</v>
      </c>
      <c r="I126" s="1"/>
      <c r="J126" s="1"/>
      <c r="K126" s="1"/>
    </row>
    <row r="127" spans="1:11" ht="12.75">
      <c r="A127" s="3" t="s">
        <v>162</v>
      </c>
      <c r="B127" t="s">
        <v>161</v>
      </c>
      <c r="C127" s="59" t="s">
        <v>423</v>
      </c>
      <c r="D127" s="39">
        <v>2589398.1682786755</v>
      </c>
      <c r="E127" s="63">
        <v>0</v>
      </c>
      <c r="F127" s="14">
        <v>-1198.2051284137597</v>
      </c>
      <c r="G127" s="112">
        <v>0</v>
      </c>
      <c r="H127" s="77">
        <f t="shared" si="1"/>
        <v>2588199.963150262</v>
      </c>
      <c r="I127" s="1"/>
      <c r="J127" s="1"/>
      <c r="K127" s="1"/>
    </row>
    <row r="128" spans="1:11" ht="12.75">
      <c r="A128" s="3" t="s">
        <v>163</v>
      </c>
      <c r="B128" t="s">
        <v>164</v>
      </c>
      <c r="C128" s="59" t="s">
        <v>424</v>
      </c>
      <c r="D128" s="39">
        <v>5103984.104631513</v>
      </c>
      <c r="E128" s="63">
        <v>0</v>
      </c>
      <c r="F128" s="14">
        <v>-4260.115570818124</v>
      </c>
      <c r="G128" s="112">
        <v>0</v>
      </c>
      <c r="H128" s="77">
        <f t="shared" si="1"/>
        <v>5099723.989060695</v>
      </c>
      <c r="I128" s="1"/>
      <c r="J128" s="1"/>
      <c r="K128" s="1"/>
    </row>
    <row r="129" spans="1:11" ht="12.75">
      <c r="A129" s="3" t="s">
        <v>165</v>
      </c>
      <c r="B129" t="s">
        <v>164</v>
      </c>
      <c r="C129" s="59" t="s">
        <v>425</v>
      </c>
      <c r="D129" s="39">
        <v>18581575.964881204</v>
      </c>
      <c r="E129" s="63">
        <v>0</v>
      </c>
      <c r="F129" s="14">
        <v>-9087.103684783582</v>
      </c>
      <c r="G129" s="112">
        <v>0</v>
      </c>
      <c r="H129" s="77">
        <f t="shared" si="1"/>
        <v>18572488.86119642</v>
      </c>
      <c r="I129" s="1"/>
      <c r="J129" s="1"/>
      <c r="K129" s="1"/>
    </row>
    <row r="130" spans="1:11" ht="12.75">
      <c r="A130" s="3" t="s">
        <v>166</v>
      </c>
      <c r="B130" t="s">
        <v>164</v>
      </c>
      <c r="C130" s="59" t="s">
        <v>426</v>
      </c>
      <c r="D130" s="39">
        <v>2258103.927918735</v>
      </c>
      <c r="E130" s="63">
        <v>0</v>
      </c>
      <c r="F130" s="14">
        <v>-951.8532943952632</v>
      </c>
      <c r="G130" s="112">
        <v>0</v>
      </c>
      <c r="H130" s="77">
        <f t="shared" si="1"/>
        <v>2257152.0746243396</v>
      </c>
      <c r="I130" s="1"/>
      <c r="J130" s="1"/>
      <c r="K130" s="1"/>
    </row>
    <row r="131" spans="1:11" ht="12.75">
      <c r="A131" s="3" t="s">
        <v>167</v>
      </c>
      <c r="B131" t="s">
        <v>164</v>
      </c>
      <c r="C131" s="59" t="s">
        <v>427</v>
      </c>
      <c r="D131" s="39">
        <v>1655371.4625110803</v>
      </c>
      <c r="E131" s="63">
        <v>0</v>
      </c>
      <c r="F131" s="14">
        <v>-1951.3095061659344</v>
      </c>
      <c r="G131" s="113">
        <v>0</v>
      </c>
      <c r="H131" s="77">
        <f t="shared" si="1"/>
        <v>1653420.1530049143</v>
      </c>
      <c r="I131" s="1"/>
      <c r="J131" s="1"/>
      <c r="K131" s="1"/>
    </row>
    <row r="132" spans="1:11" ht="12.75">
      <c r="A132" s="3" t="s">
        <v>168</v>
      </c>
      <c r="B132" t="s">
        <v>169</v>
      </c>
      <c r="C132" s="59" t="s">
        <v>428</v>
      </c>
      <c r="D132" s="39">
        <v>9980376.6074883</v>
      </c>
      <c r="E132" s="63">
        <v>0</v>
      </c>
      <c r="F132" s="14">
        <v>-4213.82310312796</v>
      </c>
      <c r="G132" s="112">
        <v>0</v>
      </c>
      <c r="H132" s="77">
        <f t="shared" si="1"/>
        <v>9976162.784385173</v>
      </c>
      <c r="I132" s="1"/>
      <c r="J132" s="1"/>
      <c r="K132" s="1"/>
    </row>
    <row r="133" spans="1:11" ht="12.75">
      <c r="A133" s="3" t="s">
        <v>170</v>
      </c>
      <c r="B133" t="s">
        <v>169</v>
      </c>
      <c r="C133" s="59" t="s">
        <v>429</v>
      </c>
      <c r="D133" s="39">
        <v>5967178.4203665005</v>
      </c>
      <c r="E133" s="63">
        <v>0</v>
      </c>
      <c r="F133" s="14">
        <v>-2483.2751137055075</v>
      </c>
      <c r="G133" s="112">
        <v>0</v>
      </c>
      <c r="H133" s="77">
        <f t="shared" si="1"/>
        <v>5964695.145252795</v>
      </c>
      <c r="I133" s="1"/>
      <c r="J133" s="1"/>
      <c r="K133" s="1"/>
    </row>
    <row r="134" spans="1:11" ht="12.75">
      <c r="A134" s="3" t="s">
        <v>171</v>
      </c>
      <c r="B134" t="s">
        <v>169</v>
      </c>
      <c r="C134" s="59" t="s">
        <v>430</v>
      </c>
      <c r="D134" s="39">
        <v>1820357.2699745712</v>
      </c>
      <c r="E134" s="63">
        <v>0</v>
      </c>
      <c r="F134" s="14">
        <v>-728.0274409999771</v>
      </c>
      <c r="G134" s="112">
        <v>0</v>
      </c>
      <c r="H134" s="77">
        <f t="shared" si="1"/>
        <v>1819629.2425335713</v>
      </c>
      <c r="I134" s="1"/>
      <c r="J134" s="1"/>
      <c r="K134" s="1"/>
    </row>
    <row r="135" spans="1:11" ht="12.75">
      <c r="A135" s="3" t="s">
        <v>172</v>
      </c>
      <c r="B135" t="s">
        <v>169</v>
      </c>
      <c r="C135" s="59" t="s">
        <v>431</v>
      </c>
      <c r="D135" s="39">
        <v>3014168.060174026</v>
      </c>
      <c r="E135" s="63">
        <v>0</v>
      </c>
      <c r="F135" s="14">
        <v>-1322.728523414243</v>
      </c>
      <c r="G135" s="112">
        <v>0</v>
      </c>
      <c r="H135" s="77">
        <f t="shared" si="1"/>
        <v>3012845.331650612</v>
      </c>
      <c r="I135" s="1"/>
      <c r="J135" s="1"/>
      <c r="K135" s="1"/>
    </row>
    <row r="136" spans="1:11" ht="12.75">
      <c r="A136" s="3" t="s">
        <v>173</v>
      </c>
      <c r="B136" t="s">
        <v>169</v>
      </c>
      <c r="C136" s="59" t="s">
        <v>432</v>
      </c>
      <c r="D136" s="39">
        <v>2413701.7179181436</v>
      </c>
      <c r="E136" s="63">
        <v>0</v>
      </c>
      <c r="F136" s="14">
        <v>-925.4921601897474</v>
      </c>
      <c r="G136" s="112">
        <v>0</v>
      </c>
      <c r="H136" s="77">
        <f t="shared" si="1"/>
        <v>2412776.2257579537</v>
      </c>
      <c r="I136" s="1"/>
      <c r="J136" s="1"/>
      <c r="K136" s="1"/>
    </row>
    <row r="137" spans="1:11" ht="12.75">
      <c r="A137" s="3" t="s">
        <v>174</v>
      </c>
      <c r="B137" t="s">
        <v>169</v>
      </c>
      <c r="C137" s="59" t="s">
        <v>433</v>
      </c>
      <c r="D137" s="39">
        <v>3078159.4230013373</v>
      </c>
      <c r="E137" s="63">
        <v>0</v>
      </c>
      <c r="F137" s="14">
        <v>-1243.0463702997386</v>
      </c>
      <c r="G137" s="112">
        <v>0</v>
      </c>
      <c r="H137" s="77">
        <f t="shared" si="1"/>
        <v>3076916.376631038</v>
      </c>
      <c r="I137" s="1"/>
      <c r="J137" s="1"/>
      <c r="K137" s="1"/>
    </row>
    <row r="138" spans="1:11" ht="12.75">
      <c r="A138" s="3" t="s">
        <v>175</v>
      </c>
      <c r="B138" t="s">
        <v>176</v>
      </c>
      <c r="C138" s="59" t="s">
        <v>434</v>
      </c>
      <c r="D138" s="39">
        <v>1443900.3989486087</v>
      </c>
      <c r="E138" s="63">
        <v>0</v>
      </c>
      <c r="F138" s="14">
        <v>-907.7095621627352</v>
      </c>
      <c r="G138" s="112">
        <v>0</v>
      </c>
      <c r="H138" s="77">
        <f t="shared" si="1"/>
        <v>1442992.689386446</v>
      </c>
      <c r="I138" s="1"/>
      <c r="J138" s="1"/>
      <c r="K138" s="1"/>
    </row>
    <row r="139" spans="1:11" ht="12.75">
      <c r="A139" s="3" t="s">
        <v>177</v>
      </c>
      <c r="B139" t="s">
        <v>176</v>
      </c>
      <c r="C139" s="59" t="s">
        <v>435</v>
      </c>
      <c r="D139" s="39">
        <v>2380748.0937557495</v>
      </c>
      <c r="E139" s="63">
        <v>0</v>
      </c>
      <c r="F139" s="14">
        <v>-1306.856015206373</v>
      </c>
      <c r="G139" s="112">
        <v>0</v>
      </c>
      <c r="H139" s="77">
        <f t="shared" si="1"/>
        <v>2379441.237740543</v>
      </c>
      <c r="I139" s="1"/>
      <c r="J139" s="1"/>
      <c r="K139" s="1"/>
    </row>
    <row r="140" spans="1:11" ht="12.75">
      <c r="A140" s="3" t="s">
        <v>178</v>
      </c>
      <c r="B140" t="s">
        <v>179</v>
      </c>
      <c r="C140" s="59" t="s">
        <v>436</v>
      </c>
      <c r="D140" s="39">
        <v>5136991.89948769</v>
      </c>
      <c r="E140" s="63">
        <v>0</v>
      </c>
      <c r="F140" s="14">
        <v>-2742.6931168917863</v>
      </c>
      <c r="G140" s="112">
        <v>0</v>
      </c>
      <c r="H140" s="77">
        <f t="shared" si="1"/>
        <v>5134249.206370798</v>
      </c>
      <c r="I140" s="1"/>
      <c r="J140" s="1"/>
      <c r="K140" s="1"/>
    </row>
    <row r="141" spans="1:11" ht="12.75">
      <c r="A141" s="3" t="s">
        <v>180</v>
      </c>
      <c r="B141" t="s">
        <v>179</v>
      </c>
      <c r="C141" s="59" t="s">
        <v>437</v>
      </c>
      <c r="D141" s="39">
        <v>1504552.454920305</v>
      </c>
      <c r="E141" s="63">
        <v>0</v>
      </c>
      <c r="F141" s="14">
        <v>-2042.305806847344</v>
      </c>
      <c r="G141" s="112">
        <v>0</v>
      </c>
      <c r="H141" s="77">
        <f t="shared" si="1"/>
        <v>1502510.1491134576</v>
      </c>
      <c r="I141" s="1"/>
      <c r="J141" s="1"/>
      <c r="K141" s="1"/>
    </row>
    <row r="142" spans="1:11" ht="12.75">
      <c r="A142" s="3" t="s">
        <v>181</v>
      </c>
      <c r="B142" t="s">
        <v>182</v>
      </c>
      <c r="C142" s="59" t="s">
        <v>438</v>
      </c>
      <c r="D142" s="39">
        <v>2772796.7298912657</v>
      </c>
      <c r="E142" s="63">
        <v>0</v>
      </c>
      <c r="F142" s="14">
        <v>-1761.6724704199737</v>
      </c>
      <c r="G142" s="112">
        <v>0</v>
      </c>
      <c r="H142" s="77">
        <f aca="true" t="shared" si="2" ref="H142:H208">SUM(D142:G142)</f>
        <v>2771035.0574208456</v>
      </c>
      <c r="I142" s="1"/>
      <c r="J142" s="1"/>
      <c r="K142" s="1"/>
    </row>
    <row r="143" spans="1:11" ht="12.75">
      <c r="A143" s="3" t="s">
        <v>183</v>
      </c>
      <c r="B143" t="s">
        <v>182</v>
      </c>
      <c r="C143" s="59" t="s">
        <v>439</v>
      </c>
      <c r="D143" s="39">
        <v>2247859.022853811</v>
      </c>
      <c r="E143" s="63">
        <v>0</v>
      </c>
      <c r="F143" s="14">
        <v>-1115.8329872479578</v>
      </c>
      <c r="G143" s="112">
        <v>0</v>
      </c>
      <c r="H143" s="77">
        <f t="shared" si="2"/>
        <v>2246743.189866563</v>
      </c>
      <c r="I143" s="1"/>
      <c r="J143" s="1"/>
      <c r="K143" s="1"/>
    </row>
    <row r="144" spans="1:11" ht="12.75">
      <c r="A144" s="3" t="s">
        <v>184</v>
      </c>
      <c r="B144" t="s">
        <v>185</v>
      </c>
      <c r="C144" s="59" t="s">
        <v>440</v>
      </c>
      <c r="D144" s="39">
        <v>4057586.8786483724</v>
      </c>
      <c r="E144" s="63">
        <v>0</v>
      </c>
      <c r="F144" s="14">
        <v>-6068.488175829678</v>
      </c>
      <c r="G144" s="112">
        <v>0</v>
      </c>
      <c r="H144" s="77">
        <f t="shared" si="2"/>
        <v>4051518.3904725425</v>
      </c>
      <c r="I144" s="1"/>
      <c r="J144" s="1"/>
      <c r="K144" s="1"/>
    </row>
    <row r="145" spans="1:11" ht="12.75">
      <c r="A145" s="3" t="s">
        <v>186</v>
      </c>
      <c r="B145" t="s">
        <v>187</v>
      </c>
      <c r="C145" s="59" t="s">
        <v>441</v>
      </c>
      <c r="D145" s="39">
        <v>2027859.2099224648</v>
      </c>
      <c r="E145" s="63">
        <v>0</v>
      </c>
      <c r="F145" s="14">
        <v>-877.0077028786949</v>
      </c>
      <c r="G145" s="112">
        <v>0</v>
      </c>
      <c r="H145" s="77">
        <f t="shared" si="2"/>
        <v>2026982.2022195861</v>
      </c>
      <c r="I145" s="1"/>
      <c r="J145" s="1"/>
      <c r="K145" s="1"/>
    </row>
    <row r="146" spans="1:11" ht="12.75">
      <c r="A146" s="3" t="s">
        <v>188</v>
      </c>
      <c r="B146" t="s">
        <v>187</v>
      </c>
      <c r="C146" s="59" t="s">
        <v>442</v>
      </c>
      <c r="D146" s="39">
        <v>10274582.896499014</v>
      </c>
      <c r="E146" s="63">
        <v>0</v>
      </c>
      <c r="F146" s="14">
        <v>-4239.459413624558</v>
      </c>
      <c r="G146" s="112">
        <v>0</v>
      </c>
      <c r="H146" s="77">
        <f t="shared" si="2"/>
        <v>10270343.437085388</v>
      </c>
      <c r="I146" s="1"/>
      <c r="J146" s="1"/>
      <c r="K146" s="1"/>
    </row>
    <row r="147" spans="1:11" ht="12.75">
      <c r="A147" s="3" t="s">
        <v>189</v>
      </c>
      <c r="B147" t="s">
        <v>187</v>
      </c>
      <c r="C147" s="59" t="s">
        <v>443</v>
      </c>
      <c r="D147" s="39">
        <v>2245251.6910401466</v>
      </c>
      <c r="E147" s="63">
        <v>0</v>
      </c>
      <c r="F147" s="14">
        <v>-1037.9489669363063</v>
      </c>
      <c r="G147" s="112">
        <v>0</v>
      </c>
      <c r="H147" s="77">
        <f t="shared" si="2"/>
        <v>2244213.7420732104</v>
      </c>
      <c r="I147" s="1"/>
      <c r="J147" s="1"/>
      <c r="K147" s="1"/>
    </row>
    <row r="148" spans="1:11" ht="12.75">
      <c r="A148" s="3" t="s">
        <v>190</v>
      </c>
      <c r="B148" t="s">
        <v>187</v>
      </c>
      <c r="C148" s="59" t="s">
        <v>444</v>
      </c>
      <c r="D148" s="39">
        <v>2293684.5506364387</v>
      </c>
      <c r="E148" s="63">
        <v>0</v>
      </c>
      <c r="F148" s="14">
        <v>-934.6059766030645</v>
      </c>
      <c r="G148" s="112">
        <v>0</v>
      </c>
      <c r="H148" s="77">
        <f t="shared" si="2"/>
        <v>2292749.9446598357</v>
      </c>
      <c r="I148" s="1"/>
      <c r="J148" s="1"/>
      <c r="K148" s="1"/>
    </row>
    <row r="149" spans="1:11" ht="12.75">
      <c r="A149" s="3" t="s">
        <v>191</v>
      </c>
      <c r="B149" t="s">
        <v>192</v>
      </c>
      <c r="C149" s="59" t="s">
        <v>445</v>
      </c>
      <c r="D149" s="39">
        <v>107863548.17052695</v>
      </c>
      <c r="E149" s="63">
        <v>0</v>
      </c>
      <c r="F149" s="14">
        <v>-48026.068380820565</v>
      </c>
      <c r="G149" s="112">
        <v>0</v>
      </c>
      <c r="H149" s="77">
        <f t="shared" si="2"/>
        <v>107815522.10214613</v>
      </c>
      <c r="I149" s="1"/>
      <c r="J149" s="1"/>
      <c r="K149" s="1"/>
    </row>
    <row r="150" spans="1:11" ht="12.75">
      <c r="A150" s="3" t="s">
        <v>193</v>
      </c>
      <c r="B150" t="s">
        <v>192</v>
      </c>
      <c r="C150" s="59" t="s">
        <v>446</v>
      </c>
      <c r="D150" s="39">
        <v>53199816.99279106</v>
      </c>
      <c r="E150" s="63">
        <v>0</v>
      </c>
      <c r="F150" s="14">
        <v>-25796.721892531154</v>
      </c>
      <c r="G150" s="112">
        <v>0</v>
      </c>
      <c r="H150" s="77">
        <f t="shared" si="2"/>
        <v>53174020.27089853</v>
      </c>
      <c r="I150" s="1"/>
      <c r="J150" s="1"/>
      <c r="K150" s="1"/>
    </row>
    <row r="151" spans="1:11" ht="12.75">
      <c r="A151" s="3" t="s">
        <v>194</v>
      </c>
      <c r="B151" t="s">
        <v>195</v>
      </c>
      <c r="C151" s="59" t="s">
        <v>447</v>
      </c>
      <c r="D151" s="14">
        <v>2379047.9965779083</v>
      </c>
      <c r="E151" s="63">
        <v>0</v>
      </c>
      <c r="F151" s="14">
        <v>-2058.669805432014</v>
      </c>
      <c r="G151" s="112">
        <v>0</v>
      </c>
      <c r="H151" s="77">
        <f t="shared" si="2"/>
        <v>2376989.326772476</v>
      </c>
      <c r="I151" s="1"/>
      <c r="J151" s="1"/>
      <c r="K151" s="1"/>
    </row>
    <row r="152" spans="1:11" ht="12.75">
      <c r="A152" s="3" t="s">
        <v>196</v>
      </c>
      <c r="B152" t="s">
        <v>195</v>
      </c>
      <c r="C152" s="59" t="s">
        <v>448</v>
      </c>
      <c r="D152" s="39">
        <v>3569303.0814966103</v>
      </c>
      <c r="E152" s="63">
        <v>0</v>
      </c>
      <c r="F152" s="14">
        <v>-1438.9247219273452</v>
      </c>
      <c r="G152" s="112">
        <v>0</v>
      </c>
      <c r="H152" s="77">
        <f t="shared" si="2"/>
        <v>3567864.156774683</v>
      </c>
      <c r="I152" s="1"/>
      <c r="J152" s="1"/>
      <c r="K152" s="1"/>
    </row>
    <row r="153" spans="1:11" ht="12.75">
      <c r="A153" s="3" t="s">
        <v>197</v>
      </c>
      <c r="B153" t="s">
        <v>198</v>
      </c>
      <c r="C153" s="59" t="s">
        <v>449</v>
      </c>
      <c r="D153" s="39">
        <v>2359442.2539298893</v>
      </c>
      <c r="E153" s="63">
        <v>0</v>
      </c>
      <c r="F153" s="14">
        <v>-1391.1497859492838</v>
      </c>
      <c r="G153" s="112">
        <v>0</v>
      </c>
      <c r="H153" s="77">
        <f t="shared" si="2"/>
        <v>2358051.10414394</v>
      </c>
      <c r="I153" s="1"/>
      <c r="J153" s="1"/>
      <c r="K153" s="1"/>
    </row>
    <row r="154" spans="1:11" ht="12.75">
      <c r="A154" s="3" t="s">
        <v>199</v>
      </c>
      <c r="B154" t="s">
        <v>198</v>
      </c>
      <c r="C154" s="59" t="s">
        <v>450</v>
      </c>
      <c r="D154" s="39">
        <v>7318421.8737219665</v>
      </c>
      <c r="E154" s="63">
        <v>0</v>
      </c>
      <c r="F154" s="14">
        <v>-3174.64354010098</v>
      </c>
      <c r="G154" s="112">
        <v>0</v>
      </c>
      <c r="H154" s="77">
        <f t="shared" si="2"/>
        <v>7315247.230181865</v>
      </c>
      <c r="I154" s="1"/>
      <c r="J154" s="1"/>
      <c r="K154" s="1"/>
    </row>
    <row r="155" spans="1:11" ht="12.75">
      <c r="A155" s="3" t="s">
        <v>200</v>
      </c>
      <c r="B155" t="s">
        <v>198</v>
      </c>
      <c r="C155" s="59" t="s">
        <v>451</v>
      </c>
      <c r="D155" s="39">
        <v>2362763.1209077872</v>
      </c>
      <c r="E155" s="63">
        <v>0</v>
      </c>
      <c r="F155" s="14">
        <v>-1282.7070325144293</v>
      </c>
      <c r="G155" s="112">
        <v>0</v>
      </c>
      <c r="H155" s="77">
        <f t="shared" si="2"/>
        <v>2361480.413875273</v>
      </c>
      <c r="I155" s="1"/>
      <c r="J155" s="1"/>
      <c r="K155" s="1"/>
    </row>
    <row r="156" spans="1:11" ht="12.75">
      <c r="A156" s="3" t="s">
        <v>201</v>
      </c>
      <c r="B156" t="s">
        <v>202</v>
      </c>
      <c r="C156" s="59" t="s">
        <v>452</v>
      </c>
      <c r="D156" s="39">
        <v>1363258.092315285</v>
      </c>
      <c r="E156" s="63">
        <v>0</v>
      </c>
      <c r="F156" s="14">
        <v>-1426.1972330172648</v>
      </c>
      <c r="G156" s="112">
        <v>0</v>
      </c>
      <c r="H156" s="77">
        <f t="shared" si="2"/>
        <v>1361831.8950822677</v>
      </c>
      <c r="I156" s="1"/>
      <c r="J156" s="1"/>
      <c r="K156" s="1"/>
    </row>
    <row r="157" spans="1:11" ht="12.75">
      <c r="A157" s="3" t="s">
        <v>203</v>
      </c>
      <c r="B157" t="s">
        <v>202</v>
      </c>
      <c r="C157" s="59" t="s">
        <v>453</v>
      </c>
      <c r="D157" s="39">
        <v>11410194.80588713</v>
      </c>
      <c r="E157" s="63">
        <v>16690.38</v>
      </c>
      <c r="F157" s="14">
        <v>-7368.237646025484</v>
      </c>
      <c r="G157" s="112">
        <v>0</v>
      </c>
      <c r="H157" s="77">
        <f t="shared" si="2"/>
        <v>11419516.948241105</v>
      </c>
      <c r="I157" s="1"/>
      <c r="J157" s="1"/>
      <c r="K157" s="1"/>
    </row>
    <row r="158" spans="1:11" ht="12.75">
      <c r="A158" s="3" t="s">
        <v>204</v>
      </c>
      <c r="B158" t="s">
        <v>202</v>
      </c>
      <c r="C158" s="59" t="s">
        <v>454</v>
      </c>
      <c r="D158" s="39">
        <v>1762329.2107172438</v>
      </c>
      <c r="E158" s="63">
        <v>0</v>
      </c>
      <c r="F158" s="14">
        <v>-1296.7521838570647</v>
      </c>
      <c r="G158" s="112">
        <v>0</v>
      </c>
      <c r="H158" s="77">
        <f t="shared" si="2"/>
        <v>1761032.4585333867</v>
      </c>
      <c r="I158" s="1"/>
      <c r="J158" s="1"/>
      <c r="K158" s="1"/>
    </row>
    <row r="159" spans="1:11" ht="12.75">
      <c r="A159" s="3" t="s">
        <v>205</v>
      </c>
      <c r="B159" t="s">
        <v>206</v>
      </c>
      <c r="C159" s="59" t="s">
        <v>455</v>
      </c>
      <c r="D159" s="39">
        <v>1391524.7212494956</v>
      </c>
      <c r="E159" s="63">
        <v>0</v>
      </c>
      <c r="F159" s="14">
        <v>-674.1690213977478</v>
      </c>
      <c r="G159" s="112">
        <v>0</v>
      </c>
      <c r="H159" s="77">
        <f t="shared" si="2"/>
        <v>1390850.5522280978</v>
      </c>
      <c r="I159" s="1"/>
      <c r="J159" s="1"/>
      <c r="K159" s="1"/>
    </row>
    <row r="160" spans="1:11" ht="12.75">
      <c r="A160" s="3" t="s">
        <v>207</v>
      </c>
      <c r="B160" t="s">
        <v>206</v>
      </c>
      <c r="C160" s="59" t="s">
        <v>456</v>
      </c>
      <c r="D160" s="39">
        <v>2466695.8834319077</v>
      </c>
      <c r="E160" s="63">
        <v>0</v>
      </c>
      <c r="F160" s="14">
        <v>-1087.0199079730326</v>
      </c>
      <c r="G160" s="112">
        <v>0</v>
      </c>
      <c r="H160" s="77">
        <f t="shared" si="2"/>
        <v>2465608.8635239345</v>
      </c>
      <c r="I160" s="1"/>
      <c r="J160" s="1"/>
      <c r="K160" s="1"/>
    </row>
    <row r="161" spans="1:11" ht="12.75">
      <c r="A161" s="3" t="s">
        <v>208</v>
      </c>
      <c r="B161" t="s">
        <v>206</v>
      </c>
      <c r="C161" s="59" t="s">
        <v>457</v>
      </c>
      <c r="D161" s="39">
        <v>4858988.881346254</v>
      </c>
      <c r="E161" s="63">
        <v>0</v>
      </c>
      <c r="F161" s="14">
        <v>-2072.585366472492</v>
      </c>
      <c r="G161" s="112">
        <v>0</v>
      </c>
      <c r="H161" s="77">
        <f t="shared" si="2"/>
        <v>4856916.295979781</v>
      </c>
      <c r="I161" s="1"/>
      <c r="J161" s="1"/>
      <c r="K161" s="1"/>
    </row>
    <row r="162" spans="1:11" ht="12.75">
      <c r="A162" s="3" t="s">
        <v>209</v>
      </c>
      <c r="B162" t="s">
        <v>210</v>
      </c>
      <c r="C162" s="59" t="s">
        <v>458</v>
      </c>
      <c r="D162" s="39">
        <v>616776.6993017341</v>
      </c>
      <c r="E162" s="63">
        <v>0</v>
      </c>
      <c r="F162" s="14">
        <v>-401.6327782374994</v>
      </c>
      <c r="G162" s="112">
        <v>0</v>
      </c>
      <c r="H162" s="77">
        <f t="shared" si="2"/>
        <v>616375.0665234966</v>
      </c>
      <c r="I162" s="1"/>
      <c r="J162" s="1"/>
      <c r="K162" s="1"/>
    </row>
    <row r="163" spans="1:11" ht="12.75">
      <c r="A163" s="3" t="s">
        <v>211</v>
      </c>
      <c r="B163" t="s">
        <v>212</v>
      </c>
      <c r="C163" s="59" t="s">
        <v>459</v>
      </c>
      <c r="D163" s="39">
        <v>4962687.996249905</v>
      </c>
      <c r="E163" s="63">
        <v>0</v>
      </c>
      <c r="F163" s="14">
        <v>-3435.5810606074333</v>
      </c>
      <c r="G163" s="112">
        <v>0</v>
      </c>
      <c r="H163" s="77">
        <f t="shared" si="2"/>
        <v>4959252.415189298</v>
      </c>
      <c r="I163" s="1"/>
      <c r="J163" s="1"/>
      <c r="K163" s="1"/>
    </row>
    <row r="164" spans="1:11" ht="12.75">
      <c r="A164" s="3" t="s">
        <v>213</v>
      </c>
      <c r="B164" t="s">
        <v>212</v>
      </c>
      <c r="C164" s="59" t="s">
        <v>460</v>
      </c>
      <c r="D164" s="39">
        <v>2801072.51048795</v>
      </c>
      <c r="E164" s="63">
        <v>0</v>
      </c>
      <c r="F164" s="14">
        <v>-1035.999232516226</v>
      </c>
      <c r="G164" s="112">
        <v>0</v>
      </c>
      <c r="H164" s="77">
        <f t="shared" si="2"/>
        <v>2800036.511255434</v>
      </c>
      <c r="I164" s="1"/>
      <c r="J164" s="1"/>
      <c r="K164" s="1"/>
    </row>
    <row r="165" spans="1:11" ht="12.75">
      <c r="A165" s="3" t="s">
        <v>214</v>
      </c>
      <c r="B165" t="s">
        <v>215</v>
      </c>
      <c r="C165" s="59" t="s">
        <v>461</v>
      </c>
      <c r="D165" s="39">
        <v>3205270.5858889692</v>
      </c>
      <c r="E165" s="63">
        <v>0</v>
      </c>
      <c r="F165" s="14">
        <v>-1468.6751203548552</v>
      </c>
      <c r="G165" s="112">
        <v>0</v>
      </c>
      <c r="H165" s="77">
        <f t="shared" si="2"/>
        <v>3203801.9107686146</v>
      </c>
      <c r="I165" s="1"/>
      <c r="J165" s="1"/>
      <c r="K165" s="1"/>
    </row>
    <row r="166" spans="1:11" ht="12.75">
      <c r="A166" s="3" t="s">
        <v>216</v>
      </c>
      <c r="B166" t="s">
        <v>215</v>
      </c>
      <c r="C166" s="59" t="s">
        <v>462</v>
      </c>
      <c r="D166" s="39">
        <v>1287718.3980636145</v>
      </c>
      <c r="E166" s="63">
        <v>0</v>
      </c>
      <c r="F166" s="14">
        <v>-701.3413760356124</v>
      </c>
      <c r="G166" s="112">
        <v>0</v>
      </c>
      <c r="H166" s="77">
        <f t="shared" si="2"/>
        <v>1287017.0566875788</v>
      </c>
      <c r="I166" s="1"/>
      <c r="J166" s="1"/>
      <c r="K166" s="1"/>
    </row>
    <row r="167" spans="1:11" ht="12.75">
      <c r="A167" s="3" t="s">
        <v>217</v>
      </c>
      <c r="B167" t="s">
        <v>218</v>
      </c>
      <c r="C167" s="59" t="s">
        <v>463</v>
      </c>
      <c r="D167" s="39">
        <v>7095370.873895526</v>
      </c>
      <c r="E167" s="63">
        <v>0</v>
      </c>
      <c r="F167" s="14">
        <v>-10004.370446433742</v>
      </c>
      <c r="G167" s="112">
        <v>0</v>
      </c>
      <c r="H167" s="77">
        <f t="shared" si="2"/>
        <v>7085366.503449093</v>
      </c>
      <c r="I167" s="1"/>
      <c r="J167" s="1"/>
      <c r="K167" s="1"/>
    </row>
    <row r="168" spans="1:11" ht="12.75">
      <c r="A168" s="3" t="s">
        <v>219</v>
      </c>
      <c r="B168" t="s">
        <v>220</v>
      </c>
      <c r="C168" s="59" t="s">
        <v>464</v>
      </c>
      <c r="D168" s="39">
        <v>0</v>
      </c>
      <c r="E168" s="63">
        <v>0</v>
      </c>
      <c r="F168" s="14">
        <v>0</v>
      </c>
      <c r="G168" s="112">
        <v>0</v>
      </c>
      <c r="H168" s="77">
        <f t="shared" si="2"/>
        <v>0</v>
      </c>
      <c r="I168" s="1"/>
      <c r="J168" s="1"/>
      <c r="K168" s="1"/>
    </row>
    <row r="169" spans="1:11" ht="12.75">
      <c r="A169" s="3" t="s">
        <v>221</v>
      </c>
      <c r="B169" t="s">
        <v>220</v>
      </c>
      <c r="C169" s="59" t="s">
        <v>465</v>
      </c>
      <c r="D169" s="39">
        <v>11327391.833910158</v>
      </c>
      <c r="E169" s="63">
        <v>0</v>
      </c>
      <c r="F169" s="14">
        <v>-6270.9011170883605</v>
      </c>
      <c r="G169" s="112">
        <v>0</v>
      </c>
      <c r="H169" s="77">
        <f t="shared" si="2"/>
        <v>11321120.93279307</v>
      </c>
      <c r="I169" s="1"/>
      <c r="J169" s="1"/>
      <c r="K169" s="1"/>
    </row>
    <row r="170" spans="1:11" ht="12.75">
      <c r="A170" s="3" t="s">
        <v>222</v>
      </c>
      <c r="B170" t="s">
        <v>223</v>
      </c>
      <c r="C170" s="59" t="s">
        <v>466</v>
      </c>
      <c r="D170" s="39">
        <v>2639533.535977866</v>
      </c>
      <c r="E170" s="63">
        <v>0</v>
      </c>
      <c r="F170" s="14">
        <v>-1290.0247441122015</v>
      </c>
      <c r="G170" s="112">
        <v>0</v>
      </c>
      <c r="H170" s="77">
        <f t="shared" si="2"/>
        <v>2638243.511233754</v>
      </c>
      <c r="I170" s="1"/>
      <c r="J170" s="1"/>
      <c r="K170" s="1"/>
    </row>
    <row r="171" spans="1:11" ht="12.75">
      <c r="A171" s="3" t="s">
        <v>224</v>
      </c>
      <c r="B171" t="s">
        <v>223</v>
      </c>
      <c r="C171" s="59" t="s">
        <v>467</v>
      </c>
      <c r="D171" s="39">
        <v>1135560.8057459532</v>
      </c>
      <c r="E171" s="63">
        <v>0</v>
      </c>
      <c r="F171" s="14">
        <v>-576.3263631119574</v>
      </c>
      <c r="G171" s="112">
        <v>0</v>
      </c>
      <c r="H171" s="77">
        <f t="shared" si="2"/>
        <v>1134984.4793828414</v>
      </c>
      <c r="I171" s="1"/>
      <c r="J171" s="1"/>
      <c r="K171" s="1"/>
    </row>
    <row r="172" spans="1:11" ht="12.75">
      <c r="A172" s="3" t="s">
        <v>225</v>
      </c>
      <c r="B172" t="s">
        <v>223</v>
      </c>
      <c r="C172" s="59" t="s">
        <v>468</v>
      </c>
      <c r="D172" s="39">
        <v>2277269.331188198</v>
      </c>
      <c r="E172" s="63">
        <v>0</v>
      </c>
      <c r="F172" s="14">
        <v>-979.5400307949628</v>
      </c>
      <c r="G172" s="112">
        <v>0</v>
      </c>
      <c r="H172" s="77">
        <f t="shared" si="2"/>
        <v>2276289.791157403</v>
      </c>
      <c r="I172" s="1"/>
      <c r="J172" s="1"/>
      <c r="K172" s="1"/>
    </row>
    <row r="173" spans="1:11" ht="12.75">
      <c r="A173" s="3" t="s">
        <v>226</v>
      </c>
      <c r="B173" t="s">
        <v>223</v>
      </c>
      <c r="C173" s="59" t="s">
        <v>469</v>
      </c>
      <c r="D173" s="39">
        <v>1453606.057563027</v>
      </c>
      <c r="E173" s="63">
        <v>0</v>
      </c>
      <c r="F173" s="14">
        <v>-628.8275426425395</v>
      </c>
      <c r="G173" s="112">
        <v>0</v>
      </c>
      <c r="H173" s="77">
        <f t="shared" si="2"/>
        <v>1452977.2300203843</v>
      </c>
      <c r="I173" s="1"/>
      <c r="J173" s="1"/>
      <c r="K173" s="1"/>
    </row>
    <row r="174" spans="1:11" ht="12.75">
      <c r="A174" s="3" t="s">
        <v>227</v>
      </c>
      <c r="B174" t="s">
        <v>223</v>
      </c>
      <c r="C174" s="59" t="s">
        <v>470</v>
      </c>
      <c r="D174" s="39">
        <v>555611.216353637</v>
      </c>
      <c r="E174" s="63">
        <v>0</v>
      </c>
      <c r="F174" s="14">
        <v>-518.8714674525094</v>
      </c>
      <c r="G174" s="112">
        <v>0</v>
      </c>
      <c r="H174" s="77">
        <f t="shared" si="2"/>
        <v>555092.3448861846</v>
      </c>
      <c r="I174" s="1"/>
      <c r="J174" s="1"/>
      <c r="K174" s="1"/>
    </row>
    <row r="175" spans="1:11" ht="12.75">
      <c r="A175" s="3" t="s">
        <v>228</v>
      </c>
      <c r="B175" t="s">
        <v>229</v>
      </c>
      <c r="C175" s="72" t="s">
        <v>495</v>
      </c>
      <c r="D175" s="39">
        <v>7823171.028572295</v>
      </c>
      <c r="E175" s="63">
        <v>0</v>
      </c>
      <c r="F175" s="14">
        <v>-5193.187843755839</v>
      </c>
      <c r="G175" s="112">
        <v>0</v>
      </c>
      <c r="H175" s="77">
        <f t="shared" si="2"/>
        <v>7817977.840728539</v>
      </c>
      <c r="I175" s="1"/>
      <c r="J175" s="1"/>
      <c r="K175" s="1"/>
    </row>
    <row r="176" spans="1:11" ht="12.75">
      <c r="A176" s="3" t="s">
        <v>230</v>
      </c>
      <c r="B176" t="s">
        <v>229</v>
      </c>
      <c r="C176" s="59" t="s">
        <v>471</v>
      </c>
      <c r="D176" s="39">
        <v>5849298.5171746425</v>
      </c>
      <c r="E176" s="63">
        <v>0</v>
      </c>
      <c r="F176" s="14">
        <v>-5208.001420534508</v>
      </c>
      <c r="G176" s="112">
        <v>0</v>
      </c>
      <c r="H176" s="77">
        <f t="shared" si="2"/>
        <v>5844090.515754108</v>
      </c>
      <c r="I176" s="1"/>
      <c r="J176" s="1"/>
      <c r="K176" s="1"/>
    </row>
    <row r="177" spans="1:11" ht="12.75">
      <c r="A177" s="3" t="s">
        <v>231</v>
      </c>
      <c r="B177" t="s">
        <v>229</v>
      </c>
      <c r="C177" s="59" t="s">
        <v>472</v>
      </c>
      <c r="D177" s="39">
        <v>4666280.149377888</v>
      </c>
      <c r="E177" s="63">
        <v>0</v>
      </c>
      <c r="F177" s="14">
        <v>-6379.531086276038</v>
      </c>
      <c r="G177" s="113">
        <v>0</v>
      </c>
      <c r="H177" s="77">
        <f t="shared" si="2"/>
        <v>4659900.618291612</v>
      </c>
      <c r="I177" s="1"/>
      <c r="J177" s="1"/>
      <c r="K177" s="1"/>
    </row>
    <row r="178" spans="1:11" ht="12.75">
      <c r="A178" s="3" t="s">
        <v>232</v>
      </c>
      <c r="B178" t="s">
        <v>229</v>
      </c>
      <c r="C178" s="59" t="s">
        <v>473</v>
      </c>
      <c r="D178" s="39">
        <v>21475265.143843774</v>
      </c>
      <c r="E178" s="63">
        <v>0</v>
      </c>
      <c r="F178" s="14">
        <v>-17329.674133557754</v>
      </c>
      <c r="G178" s="112">
        <v>0</v>
      </c>
      <c r="H178" s="77">
        <f t="shared" si="2"/>
        <v>21457935.469710216</v>
      </c>
      <c r="I178" s="1"/>
      <c r="J178" s="1"/>
      <c r="K178" s="1"/>
    </row>
    <row r="179" spans="1:11" ht="12.75">
      <c r="A179" s="3" t="s">
        <v>233</v>
      </c>
      <c r="B179" t="s">
        <v>229</v>
      </c>
      <c r="C179" s="59" t="s">
        <v>474</v>
      </c>
      <c r="D179" s="39">
        <v>18514715.252501674</v>
      </c>
      <c r="E179" s="63">
        <v>0</v>
      </c>
      <c r="F179" s="14">
        <v>-10214.266251752804</v>
      </c>
      <c r="G179" s="112">
        <v>0</v>
      </c>
      <c r="H179" s="77">
        <f t="shared" si="2"/>
        <v>18504500.98624992</v>
      </c>
      <c r="I179" s="1"/>
      <c r="J179" s="1"/>
      <c r="K179" s="1"/>
    </row>
    <row r="180" spans="1:11" ht="12.75">
      <c r="A180" s="3" t="s">
        <v>234</v>
      </c>
      <c r="B180" t="s">
        <v>229</v>
      </c>
      <c r="C180" s="59" t="s">
        <v>475</v>
      </c>
      <c r="D180" s="39">
        <v>125482067.0178104</v>
      </c>
      <c r="E180" s="63">
        <v>0</v>
      </c>
      <c r="F180" s="14">
        <v>-60602.66671280816</v>
      </c>
      <c r="G180" s="112">
        <v>0</v>
      </c>
      <c r="H180" s="77">
        <f t="shared" si="2"/>
        <v>125421464.3510976</v>
      </c>
      <c r="I180" s="1"/>
      <c r="J180" s="1"/>
      <c r="K180" s="1"/>
    </row>
    <row r="181" spans="1:11" ht="12.75">
      <c r="A181" s="3" t="s">
        <v>235</v>
      </c>
      <c r="B181" t="s">
        <v>229</v>
      </c>
      <c r="C181" s="59" t="s">
        <v>476</v>
      </c>
      <c r="D181" s="39">
        <v>6.984919309616089E-10</v>
      </c>
      <c r="E181" s="63">
        <v>0</v>
      </c>
      <c r="F181" s="14">
        <v>0</v>
      </c>
      <c r="G181" s="113">
        <v>0</v>
      </c>
      <c r="H181" s="77">
        <f t="shared" si="2"/>
        <v>6.984919309616089E-10</v>
      </c>
      <c r="I181" s="1"/>
      <c r="J181" s="1"/>
      <c r="K181" s="1"/>
    </row>
    <row r="182" spans="1:11" ht="12.75">
      <c r="A182" s="3" t="s">
        <v>236</v>
      </c>
      <c r="B182" t="s">
        <v>229</v>
      </c>
      <c r="C182" s="59" t="s">
        <v>477</v>
      </c>
      <c r="D182" s="39">
        <v>2988184.59177072</v>
      </c>
      <c r="E182" s="63">
        <v>0</v>
      </c>
      <c r="F182" s="14">
        <v>-6736.1196038793</v>
      </c>
      <c r="G182" s="112">
        <v>0</v>
      </c>
      <c r="H182" s="77">
        <f t="shared" si="2"/>
        <v>2981448.472166841</v>
      </c>
      <c r="I182" s="1"/>
      <c r="J182" s="1"/>
      <c r="K182" s="1"/>
    </row>
    <row r="183" spans="1:11" ht="12.75">
      <c r="A183" s="3" t="s">
        <v>237</v>
      </c>
      <c r="B183" t="s">
        <v>229</v>
      </c>
      <c r="C183" s="59" t="s">
        <v>478</v>
      </c>
      <c r="D183" s="39">
        <v>4500945.441521284</v>
      </c>
      <c r="E183" s="63">
        <v>0</v>
      </c>
      <c r="F183" s="14">
        <v>-2706.285097603202</v>
      </c>
      <c r="G183" s="112">
        <v>0</v>
      </c>
      <c r="H183" s="77">
        <f t="shared" si="2"/>
        <v>4498239.156423681</v>
      </c>
      <c r="I183" s="1"/>
      <c r="J183" s="1"/>
      <c r="K183" s="1"/>
    </row>
    <row r="184" spans="1:11" ht="12.75">
      <c r="A184" s="3" t="s">
        <v>238</v>
      </c>
      <c r="B184" t="s">
        <v>229</v>
      </c>
      <c r="C184" s="59" t="s">
        <v>479</v>
      </c>
      <c r="D184" s="39">
        <v>918568.7854863559</v>
      </c>
      <c r="E184" s="63">
        <v>0</v>
      </c>
      <c r="F184" s="14">
        <v>-812.7410752660834</v>
      </c>
      <c r="G184" s="112">
        <v>0</v>
      </c>
      <c r="H184" s="77">
        <f t="shared" si="2"/>
        <v>917756.0444110899</v>
      </c>
      <c r="I184" s="1"/>
      <c r="J184" s="1"/>
      <c r="K184" s="1"/>
    </row>
    <row r="185" spans="1:11" ht="12.75">
      <c r="A185" s="3" t="s">
        <v>239</v>
      </c>
      <c r="B185" t="s">
        <v>229</v>
      </c>
      <c r="C185" s="59" t="s">
        <v>480</v>
      </c>
      <c r="D185" s="39">
        <v>294722.0484829346</v>
      </c>
      <c r="E185" s="63">
        <v>0</v>
      </c>
      <c r="F185" s="14">
        <v>-885.5019181509647</v>
      </c>
      <c r="G185" s="113">
        <v>0</v>
      </c>
      <c r="H185" s="77">
        <f t="shared" si="2"/>
        <v>293836.5465647836</v>
      </c>
      <c r="I185" s="1"/>
      <c r="J185" s="1"/>
      <c r="K185" s="1"/>
    </row>
    <row r="186" spans="1:11" ht="12.75">
      <c r="A186" s="3" t="s">
        <v>240</v>
      </c>
      <c r="B186" t="s">
        <v>229</v>
      </c>
      <c r="C186" s="59" t="s">
        <v>481</v>
      </c>
      <c r="D186" s="39">
        <v>0</v>
      </c>
      <c r="E186" s="63">
        <v>0</v>
      </c>
      <c r="F186" s="14">
        <v>0</v>
      </c>
      <c r="G186" s="112">
        <v>0</v>
      </c>
      <c r="H186" s="77">
        <f t="shared" si="2"/>
        <v>0</v>
      </c>
      <c r="I186" s="1"/>
      <c r="J186" s="1"/>
      <c r="K186" s="1"/>
    </row>
    <row r="187" spans="1:11" ht="12.75">
      <c r="A187" s="3">
        <v>3200</v>
      </c>
      <c r="B187" t="s">
        <v>241</v>
      </c>
      <c r="C187" s="59" t="s">
        <v>242</v>
      </c>
      <c r="D187" s="39">
        <v>4938375.906768062</v>
      </c>
      <c r="E187" s="63">
        <v>0</v>
      </c>
      <c r="F187" s="14">
        <v>-2511.2535167703554</v>
      </c>
      <c r="G187" s="112">
        <v>0</v>
      </c>
      <c r="H187" s="77">
        <f t="shared" si="2"/>
        <v>4935864.653251292</v>
      </c>
      <c r="I187" s="1"/>
      <c r="J187" s="1"/>
      <c r="K187" s="1"/>
    </row>
    <row r="188" spans="1:11" ht="12.75">
      <c r="A188" s="3">
        <v>3210</v>
      </c>
      <c r="B188" t="s">
        <v>241</v>
      </c>
      <c r="C188" s="59" t="s">
        <v>243</v>
      </c>
      <c r="D188" s="39">
        <v>4254802.669335302</v>
      </c>
      <c r="E188" s="63">
        <v>0</v>
      </c>
      <c r="F188" s="14">
        <v>-2052.348125770312</v>
      </c>
      <c r="G188" s="112">
        <v>0</v>
      </c>
      <c r="H188" s="77">
        <f t="shared" si="2"/>
        <v>4252750.321209531</v>
      </c>
      <c r="I188" s="1"/>
      <c r="J188" s="1"/>
      <c r="K188" s="1"/>
    </row>
    <row r="189" spans="1:11" ht="12.75">
      <c r="A189" s="3">
        <v>3220</v>
      </c>
      <c r="B189" t="s">
        <v>241</v>
      </c>
      <c r="C189" s="59" t="s">
        <v>244</v>
      </c>
      <c r="D189" s="39">
        <v>2189205.599844861</v>
      </c>
      <c r="E189" s="63">
        <v>0</v>
      </c>
      <c r="F189" s="14">
        <v>-918.4096090258669</v>
      </c>
      <c r="G189" s="112">
        <v>0</v>
      </c>
      <c r="H189" s="77">
        <f t="shared" si="2"/>
        <v>2188287.190235835</v>
      </c>
      <c r="I189" s="1"/>
      <c r="J189" s="1"/>
      <c r="K189" s="1"/>
    </row>
    <row r="190" spans="1:11" ht="12.75">
      <c r="A190" s="3">
        <v>3230</v>
      </c>
      <c r="B190" t="s">
        <v>241</v>
      </c>
      <c r="C190" s="59" t="s">
        <v>245</v>
      </c>
      <c r="D190" s="39">
        <v>685613.1115526273</v>
      </c>
      <c r="E190" s="63">
        <v>0</v>
      </c>
      <c r="F190" s="14">
        <v>-377.6744167865006</v>
      </c>
      <c r="G190" s="112">
        <v>0</v>
      </c>
      <c r="H190" s="77">
        <f t="shared" si="2"/>
        <v>685235.4371358408</v>
      </c>
      <c r="I190" s="1"/>
      <c r="J190" s="1"/>
      <c r="K190" s="1"/>
    </row>
    <row r="191" spans="1:11" ht="12.75">
      <c r="A191" s="3">
        <v>8001</v>
      </c>
      <c r="B191" t="s">
        <v>303</v>
      </c>
      <c r="C191" t="s">
        <v>304</v>
      </c>
      <c r="D191" s="39">
        <v>138036837.1</v>
      </c>
      <c r="E191" s="63">
        <v>-1554538.75</v>
      </c>
      <c r="F191" s="14">
        <v>-48195.17</v>
      </c>
      <c r="G191" s="112">
        <v>0</v>
      </c>
      <c r="H191" s="77">
        <f t="shared" si="2"/>
        <v>136434103.18</v>
      </c>
      <c r="I191" s="1"/>
      <c r="J191" s="1"/>
      <c r="K191" s="1"/>
    </row>
    <row r="192" spans="1:11" ht="12.75">
      <c r="A192" s="108">
        <v>8041</v>
      </c>
      <c r="B192" s="3">
        <v>8041</v>
      </c>
      <c r="C192" s="108" t="s">
        <v>523</v>
      </c>
      <c r="D192" s="49">
        <v>0</v>
      </c>
      <c r="E192" s="63">
        <v>0</v>
      </c>
      <c r="F192" s="49">
        <v>0</v>
      </c>
      <c r="G192" s="112">
        <v>0</v>
      </c>
      <c r="H192" s="77">
        <v>0</v>
      </c>
      <c r="I192" s="110"/>
      <c r="J192" s="1"/>
      <c r="K192" s="1"/>
    </row>
    <row r="193" spans="1:11" ht="12.75">
      <c r="A193" s="108">
        <v>8042</v>
      </c>
      <c r="B193" s="3">
        <v>8042</v>
      </c>
      <c r="C193" s="108" t="s">
        <v>524</v>
      </c>
      <c r="D193" s="49">
        <v>0</v>
      </c>
      <c r="E193" s="63">
        <v>0</v>
      </c>
      <c r="F193" s="49">
        <v>0</v>
      </c>
      <c r="G193" s="112">
        <v>0</v>
      </c>
      <c r="H193" s="77">
        <v>0</v>
      </c>
      <c r="I193" s="110"/>
      <c r="J193" s="1"/>
      <c r="K193" s="1"/>
    </row>
    <row r="194" spans="1:11" ht="12.75">
      <c r="A194" s="108">
        <v>9025</v>
      </c>
      <c r="B194" s="3">
        <v>9025</v>
      </c>
      <c r="C194" s="108" t="s">
        <v>247</v>
      </c>
      <c r="D194" s="49">
        <v>0</v>
      </c>
      <c r="E194" s="63">
        <v>0</v>
      </c>
      <c r="F194" s="49">
        <v>0</v>
      </c>
      <c r="G194" s="112">
        <v>0</v>
      </c>
      <c r="H194" s="77">
        <v>0</v>
      </c>
      <c r="I194" s="110"/>
      <c r="J194" s="1"/>
      <c r="K194" s="1"/>
    </row>
    <row r="195" spans="1:11" ht="12.75">
      <c r="A195" s="3">
        <v>9030</v>
      </c>
      <c r="B195" s="3">
        <v>9030</v>
      </c>
      <c r="C195" s="3" t="s">
        <v>248</v>
      </c>
      <c r="D195" s="1">
        <v>0</v>
      </c>
      <c r="E195" s="63">
        <v>0</v>
      </c>
      <c r="F195" s="1">
        <v>0</v>
      </c>
      <c r="G195" s="112">
        <v>0</v>
      </c>
      <c r="H195" s="77">
        <f t="shared" si="2"/>
        <v>0</v>
      </c>
      <c r="I195" s="11"/>
      <c r="J195" s="1"/>
      <c r="K195" s="1"/>
    </row>
    <row r="196" spans="1:11" ht="12.75">
      <c r="A196" s="3">
        <v>9035</v>
      </c>
      <c r="B196" s="3">
        <v>9035</v>
      </c>
      <c r="C196" s="3" t="s">
        <v>249</v>
      </c>
      <c r="D196" s="1">
        <v>0</v>
      </c>
      <c r="E196" s="63">
        <v>0</v>
      </c>
      <c r="F196" s="1">
        <v>0</v>
      </c>
      <c r="G196" s="112">
        <v>0</v>
      </c>
      <c r="H196" s="77">
        <f t="shared" si="2"/>
        <v>0</v>
      </c>
      <c r="I196" s="1"/>
      <c r="J196" s="1"/>
      <c r="K196" s="1"/>
    </row>
    <row r="197" spans="1:11" ht="12.75">
      <c r="A197" s="3">
        <v>9040</v>
      </c>
      <c r="B197" s="3">
        <v>9040</v>
      </c>
      <c r="C197" s="3" t="s">
        <v>250</v>
      </c>
      <c r="D197" s="1">
        <v>0</v>
      </c>
      <c r="E197" s="63">
        <v>0</v>
      </c>
      <c r="F197" s="1">
        <v>0</v>
      </c>
      <c r="G197" s="112">
        <v>0</v>
      </c>
      <c r="H197" s="77">
        <f t="shared" si="2"/>
        <v>0</v>
      </c>
      <c r="I197" s="1"/>
      <c r="J197" s="1"/>
      <c r="K197" s="1"/>
    </row>
    <row r="198" spans="1:11" ht="12.75">
      <c r="A198" s="3">
        <v>9045</v>
      </c>
      <c r="B198" s="3">
        <v>9045</v>
      </c>
      <c r="C198" s="3" t="s">
        <v>251</v>
      </c>
      <c r="D198" s="1">
        <v>0</v>
      </c>
      <c r="E198" s="63">
        <v>0</v>
      </c>
      <c r="F198" s="1">
        <v>0</v>
      </c>
      <c r="G198" s="112">
        <v>0</v>
      </c>
      <c r="H198" s="77">
        <f t="shared" si="2"/>
        <v>0</v>
      </c>
      <c r="I198" s="1"/>
      <c r="J198" s="1"/>
      <c r="K198" s="1"/>
    </row>
    <row r="199" spans="1:10" ht="12.75">
      <c r="A199" s="3">
        <v>9050</v>
      </c>
      <c r="B199" s="3">
        <v>9050</v>
      </c>
      <c r="C199" s="3" t="s">
        <v>252</v>
      </c>
      <c r="D199" s="1">
        <v>0</v>
      </c>
      <c r="E199" s="63">
        <v>0</v>
      </c>
      <c r="F199" s="1">
        <v>0</v>
      </c>
      <c r="G199" s="112">
        <v>0</v>
      </c>
      <c r="H199" s="77">
        <f t="shared" si="2"/>
        <v>0</v>
      </c>
      <c r="I199" s="1"/>
      <c r="J199" s="1"/>
    </row>
    <row r="200" spans="1:10" ht="12.75">
      <c r="A200" s="3">
        <v>9055</v>
      </c>
      <c r="B200" s="3">
        <v>9055</v>
      </c>
      <c r="C200" s="3" t="s">
        <v>253</v>
      </c>
      <c r="D200" s="1">
        <v>0</v>
      </c>
      <c r="E200" s="63">
        <v>0</v>
      </c>
      <c r="F200" s="1">
        <v>0</v>
      </c>
      <c r="G200" s="112">
        <v>0</v>
      </c>
      <c r="H200" s="77">
        <f t="shared" si="2"/>
        <v>0</v>
      </c>
      <c r="I200" s="1"/>
      <c r="J200" s="1"/>
    </row>
    <row r="201" spans="1:10" ht="12.75">
      <c r="A201" s="3">
        <v>9060</v>
      </c>
      <c r="B201" s="3">
        <v>9060</v>
      </c>
      <c r="C201" s="3" t="s">
        <v>254</v>
      </c>
      <c r="D201" s="1">
        <v>0</v>
      </c>
      <c r="E201" s="63">
        <v>0</v>
      </c>
      <c r="F201" s="1">
        <v>0</v>
      </c>
      <c r="G201" s="112">
        <v>0</v>
      </c>
      <c r="H201" s="77">
        <f t="shared" si="2"/>
        <v>0</v>
      </c>
      <c r="I201" s="1"/>
      <c r="J201" s="1"/>
    </row>
    <row r="202" spans="1:10" ht="12.75">
      <c r="A202" s="3">
        <v>9075</v>
      </c>
      <c r="B202" s="3">
        <v>9075</v>
      </c>
      <c r="C202" s="3" t="s">
        <v>255</v>
      </c>
      <c r="D202" s="1">
        <v>0</v>
      </c>
      <c r="E202" s="63">
        <v>0</v>
      </c>
      <c r="F202" s="1">
        <v>0</v>
      </c>
      <c r="G202" s="112">
        <v>0</v>
      </c>
      <c r="H202" s="77">
        <f t="shared" si="2"/>
        <v>0</v>
      </c>
      <c r="I202" s="1"/>
      <c r="J202" s="1"/>
    </row>
    <row r="203" spans="1:10" ht="12.75">
      <c r="A203" s="3">
        <v>9095</v>
      </c>
      <c r="B203" s="3">
        <v>9095</v>
      </c>
      <c r="C203" s="3" t="s">
        <v>256</v>
      </c>
      <c r="D203" s="1">
        <v>0</v>
      </c>
      <c r="E203" s="63">
        <v>0</v>
      </c>
      <c r="F203" s="1">
        <v>0</v>
      </c>
      <c r="G203" s="112">
        <v>0</v>
      </c>
      <c r="H203" s="77">
        <f t="shared" si="2"/>
        <v>0</v>
      </c>
      <c r="I203" s="1"/>
      <c r="J203" s="1"/>
    </row>
    <row r="204" spans="1:10" ht="12.75">
      <c r="A204" s="3">
        <v>9120</v>
      </c>
      <c r="B204" s="3">
        <v>9120</v>
      </c>
      <c r="C204" s="3" t="s">
        <v>257</v>
      </c>
      <c r="D204" s="1">
        <v>0</v>
      </c>
      <c r="E204" s="63">
        <v>0</v>
      </c>
      <c r="F204" s="1">
        <v>0</v>
      </c>
      <c r="G204" s="112">
        <v>0</v>
      </c>
      <c r="H204" s="77">
        <f t="shared" si="2"/>
        <v>0</v>
      </c>
      <c r="I204" s="1"/>
      <c r="J204" s="1"/>
    </row>
    <row r="205" spans="1:10" ht="12.75">
      <c r="A205" s="3">
        <v>9125</v>
      </c>
      <c r="B205" s="3">
        <v>9125</v>
      </c>
      <c r="C205" s="3" t="s">
        <v>258</v>
      </c>
      <c r="D205" s="1">
        <v>0</v>
      </c>
      <c r="E205" s="63">
        <v>0</v>
      </c>
      <c r="F205" s="1">
        <v>0</v>
      </c>
      <c r="G205" s="112">
        <v>0</v>
      </c>
      <c r="H205" s="77">
        <f t="shared" si="2"/>
        <v>0</v>
      </c>
      <c r="I205" s="1"/>
      <c r="J205" s="1"/>
    </row>
    <row r="206" spans="1:10" ht="12.75">
      <c r="A206" s="3">
        <v>9130</v>
      </c>
      <c r="B206" s="3">
        <v>9130</v>
      </c>
      <c r="C206" s="3" t="s">
        <v>482</v>
      </c>
      <c r="D206" s="1">
        <v>0</v>
      </c>
      <c r="E206" s="63">
        <v>0</v>
      </c>
      <c r="F206" s="1">
        <v>0</v>
      </c>
      <c r="G206" s="112">
        <v>0</v>
      </c>
      <c r="H206" s="77">
        <f t="shared" si="2"/>
        <v>0</v>
      </c>
      <c r="I206" s="1"/>
      <c r="J206" s="1"/>
    </row>
    <row r="207" spans="1:10" ht="12.75">
      <c r="A207" s="3">
        <v>9135</v>
      </c>
      <c r="B207" s="3">
        <v>9135</v>
      </c>
      <c r="C207" s="3" t="s">
        <v>483</v>
      </c>
      <c r="D207" s="1">
        <v>0</v>
      </c>
      <c r="E207" s="63">
        <v>0</v>
      </c>
      <c r="F207" s="1">
        <v>0</v>
      </c>
      <c r="G207" s="112">
        <v>0</v>
      </c>
      <c r="H207" s="77">
        <f t="shared" si="2"/>
        <v>0</v>
      </c>
      <c r="I207" s="1"/>
      <c r="J207" s="1"/>
    </row>
    <row r="208" spans="1:10" ht="12.75">
      <c r="A208" s="3">
        <v>9140</v>
      </c>
      <c r="B208" s="3">
        <v>9140</v>
      </c>
      <c r="C208" s="3" t="s">
        <v>259</v>
      </c>
      <c r="D208" s="1">
        <v>0</v>
      </c>
      <c r="E208" s="63">
        <v>0</v>
      </c>
      <c r="F208" s="1">
        <v>0</v>
      </c>
      <c r="G208" s="112">
        <v>0</v>
      </c>
      <c r="H208" s="77">
        <f t="shared" si="2"/>
        <v>0</v>
      </c>
      <c r="I208" s="1"/>
      <c r="J208" s="1"/>
    </row>
    <row r="209" spans="1:10" ht="12.75">
      <c r="A209" s="3">
        <v>9145</v>
      </c>
      <c r="B209" s="3">
        <v>9145</v>
      </c>
      <c r="C209" s="3" t="s">
        <v>260</v>
      </c>
      <c r="D209" s="1">
        <v>0</v>
      </c>
      <c r="E209" s="63">
        <v>0</v>
      </c>
      <c r="F209" s="1">
        <v>0</v>
      </c>
      <c r="G209" s="112">
        <v>0</v>
      </c>
      <c r="H209" s="77">
        <f aca="true" t="shared" si="3" ref="H209:H214">SUM(D209:G209)</f>
        <v>0</v>
      </c>
      <c r="I209" s="1"/>
      <c r="J209" s="1"/>
    </row>
    <row r="210" spans="1:10" ht="12.75">
      <c r="A210" s="3">
        <v>9150</v>
      </c>
      <c r="B210" s="3">
        <v>9150</v>
      </c>
      <c r="C210" s="3" t="s">
        <v>261</v>
      </c>
      <c r="D210" s="1">
        <v>0</v>
      </c>
      <c r="E210" s="63">
        <v>0</v>
      </c>
      <c r="F210" s="1">
        <v>0</v>
      </c>
      <c r="G210" s="112">
        <v>0</v>
      </c>
      <c r="H210" s="77">
        <f t="shared" si="3"/>
        <v>0</v>
      </c>
      <c r="I210" s="1"/>
      <c r="J210" s="1"/>
    </row>
    <row r="211" spans="1:10" ht="12.75">
      <c r="A211" s="3">
        <v>9160</v>
      </c>
      <c r="B211" s="3">
        <v>9160</v>
      </c>
      <c r="C211" s="3" t="s">
        <v>262</v>
      </c>
      <c r="D211" s="1">
        <v>0</v>
      </c>
      <c r="E211" s="63">
        <v>0</v>
      </c>
      <c r="F211" s="1">
        <v>0</v>
      </c>
      <c r="G211" s="112">
        <v>0</v>
      </c>
      <c r="H211" s="77">
        <f t="shared" si="3"/>
        <v>0</v>
      </c>
      <c r="I211" s="1"/>
      <c r="J211" s="1"/>
    </row>
    <row r="212" spans="1:10" ht="12.75">
      <c r="A212" s="3">
        <v>9165</v>
      </c>
      <c r="B212" s="3">
        <v>9165</v>
      </c>
      <c r="C212" s="3" t="s">
        <v>484</v>
      </c>
      <c r="D212" s="1">
        <v>0</v>
      </c>
      <c r="E212" s="63">
        <v>0</v>
      </c>
      <c r="F212" s="1">
        <v>0</v>
      </c>
      <c r="G212" s="112">
        <v>0</v>
      </c>
      <c r="H212" s="77">
        <f t="shared" si="3"/>
        <v>0</v>
      </c>
      <c r="I212" s="1"/>
      <c r="J212" s="1"/>
    </row>
    <row r="213" spans="1:10" ht="12.75">
      <c r="A213" s="3">
        <v>9170</v>
      </c>
      <c r="B213" s="3">
        <v>9170</v>
      </c>
      <c r="C213" s="3" t="s">
        <v>537</v>
      </c>
      <c r="D213" s="1">
        <v>0</v>
      </c>
      <c r="E213" s="63">
        <v>0</v>
      </c>
      <c r="F213" s="1">
        <v>0</v>
      </c>
      <c r="G213" s="112">
        <v>0</v>
      </c>
      <c r="H213" s="77">
        <f t="shared" si="3"/>
        <v>0</v>
      </c>
      <c r="I213" s="1"/>
      <c r="J213" s="1"/>
    </row>
    <row r="214" spans="1:10" ht="12.75">
      <c r="A214" s="3">
        <v>9175</v>
      </c>
      <c r="B214" s="3">
        <v>9175</v>
      </c>
      <c r="C214" s="3" t="s">
        <v>538</v>
      </c>
      <c r="D214" s="1">
        <v>0</v>
      </c>
      <c r="E214" s="63">
        <v>0</v>
      </c>
      <c r="F214" s="1">
        <v>0</v>
      </c>
      <c r="G214" s="112">
        <v>0</v>
      </c>
      <c r="H214" s="77">
        <f t="shared" si="3"/>
        <v>0</v>
      </c>
      <c r="I214" s="1"/>
      <c r="J214" s="1"/>
    </row>
    <row r="215" spans="2:9" ht="12.75">
      <c r="B215" s="3"/>
      <c r="H215" s="64"/>
      <c r="I215" s="1"/>
    </row>
    <row r="216" spans="2:10" ht="12.75">
      <c r="B216" t="s">
        <v>288</v>
      </c>
      <c r="D216" s="1">
        <f>SUM(D13:D214)</f>
        <v>4466837502.076892</v>
      </c>
      <c r="E216" s="14">
        <v>0</v>
      </c>
      <c r="F216" s="14">
        <f>SUM(F13:F214)</f>
        <v>-2462340.4652523645</v>
      </c>
      <c r="G216" s="14">
        <f>SUM(G13:G214)</f>
        <v>0</v>
      </c>
      <c r="H216" s="77">
        <f>SUM(H13:H214)</f>
        <v>4464701609.871641</v>
      </c>
      <c r="I216" s="1"/>
      <c r="J216" s="1"/>
    </row>
    <row r="217" spans="6:9" ht="12.75">
      <c r="F217" s="1"/>
      <c r="G217" s="1"/>
      <c r="I217" s="1"/>
    </row>
    <row r="218" spans="5:9" ht="12.75">
      <c r="E218" s="14"/>
      <c r="F218" s="1"/>
      <c r="G218" s="1"/>
      <c r="H218" s="11"/>
      <c r="I218" s="1"/>
    </row>
    <row r="219" spans="4:9" ht="12.75">
      <c r="D219" s="39"/>
      <c r="E219" s="14"/>
      <c r="F219" s="14"/>
      <c r="G219" s="14"/>
      <c r="H219" s="11"/>
      <c r="I219" s="1"/>
    </row>
    <row r="220" spans="4:9" ht="12.75">
      <c r="D220" s="39"/>
      <c r="H220" s="78"/>
      <c r="I220" s="1"/>
    </row>
    <row r="221" spans="5:9" ht="12.75">
      <c r="E221" s="51"/>
      <c r="F221" s="52"/>
      <c r="G221" s="52"/>
      <c r="H221" s="11"/>
      <c r="I221" s="1"/>
    </row>
    <row r="222" spans="5:9" ht="12.75">
      <c r="E222" s="51"/>
      <c r="H222" s="11"/>
      <c r="I222" s="1"/>
    </row>
    <row r="223" spans="5:9" ht="12.75">
      <c r="E223" s="51"/>
      <c r="I223" s="1"/>
    </row>
    <row r="224" spans="5:9" ht="12.75">
      <c r="E224" s="51"/>
      <c r="I224" s="1"/>
    </row>
    <row r="225" spans="5:9" ht="12.75">
      <c r="E225" s="51"/>
      <c r="I225" s="1"/>
    </row>
    <row r="226" spans="5:9" ht="12.75">
      <c r="E226" s="51"/>
      <c r="I226" s="1"/>
    </row>
    <row r="227" spans="5:9" ht="12.75">
      <c r="E227" s="51"/>
      <c r="I227" s="1"/>
    </row>
    <row r="228" spans="5:9" ht="12.75">
      <c r="E228" s="51"/>
      <c r="I228" s="1"/>
    </row>
    <row r="229" spans="5:9" ht="12.75">
      <c r="E229" s="51"/>
      <c r="I229" s="1"/>
    </row>
    <row r="230" spans="5:9" ht="12.75">
      <c r="E230" s="51"/>
      <c r="I230" s="1"/>
    </row>
    <row r="231" spans="5:9" ht="12.75">
      <c r="E231" s="51"/>
      <c r="I231" s="1"/>
    </row>
    <row r="232" spans="5:9" ht="12.75">
      <c r="E232" s="51"/>
      <c r="I232" s="1"/>
    </row>
    <row r="233" spans="5:9" ht="12.75">
      <c r="E233" s="51"/>
      <c r="I233" s="1"/>
    </row>
    <row r="234" spans="5:9" ht="12.75">
      <c r="E234" s="51"/>
      <c r="I234" s="1"/>
    </row>
    <row r="235" spans="5:9" ht="12.75">
      <c r="E235" s="52"/>
      <c r="I235" s="1"/>
    </row>
    <row r="236" spans="5:9" ht="12.75">
      <c r="E236" s="52"/>
      <c r="I236" s="1"/>
    </row>
    <row r="237" spans="5:9" ht="12.75">
      <c r="E237" s="52"/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2018-19: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6.421875" style="33" bestFit="1" customWidth="1"/>
    <col min="2" max="2" width="14.57421875" style="32" customWidth="1"/>
    <col min="3" max="3" width="36.8515625" style="58" customWidth="1"/>
    <col min="4" max="4" width="16.7109375" style="32" customWidth="1"/>
    <col min="5" max="5" width="14.28125" style="13" bestFit="1" customWidth="1"/>
    <col min="6" max="6" width="13.8515625" style="36" bestFit="1" customWidth="1"/>
    <col min="7" max="7" width="16.421875" style="32" customWidth="1"/>
    <col min="8" max="8" width="13.28125" style="32" bestFit="1" customWidth="1"/>
    <col min="9" max="9" width="14.421875" style="69" bestFit="1" customWidth="1"/>
    <col min="10" max="10" width="22.00390625" style="69" customWidth="1"/>
    <col min="11" max="11" width="20.00390625" style="46" customWidth="1"/>
    <col min="12" max="12" width="12.421875" style="32" bestFit="1" customWidth="1"/>
    <col min="13" max="13" width="10.140625" style="32" bestFit="1" customWidth="1"/>
    <col min="14" max="16384" width="9.140625" style="32" customWidth="1"/>
  </cols>
  <sheetData>
    <row r="1" spans="1:11" ht="12.75">
      <c r="A1" s="95" t="s">
        <v>0</v>
      </c>
      <c r="B1" s="96" t="s">
        <v>1</v>
      </c>
      <c r="C1" s="96" t="s">
        <v>2</v>
      </c>
      <c r="D1" s="27" t="s">
        <v>291</v>
      </c>
      <c r="E1" s="27" t="s">
        <v>292</v>
      </c>
      <c r="F1" s="41" t="s">
        <v>293</v>
      </c>
      <c r="G1" s="47" t="s">
        <v>305</v>
      </c>
      <c r="H1" s="47" t="s">
        <v>488</v>
      </c>
      <c r="I1" s="65" t="s">
        <v>299</v>
      </c>
      <c r="J1" s="27" t="s">
        <v>518</v>
      </c>
      <c r="K1" s="73" t="s">
        <v>521</v>
      </c>
    </row>
    <row r="2" spans="3:11" ht="12.75">
      <c r="C2" s="31"/>
      <c r="D2" s="27" t="s">
        <v>294</v>
      </c>
      <c r="E2" s="27" t="s">
        <v>295</v>
      </c>
      <c r="F2" s="41" t="s">
        <v>296</v>
      </c>
      <c r="G2" s="27" t="s">
        <v>306</v>
      </c>
      <c r="H2" s="27" t="s">
        <v>489</v>
      </c>
      <c r="I2" s="66" t="s">
        <v>531</v>
      </c>
      <c r="J2" s="27" t="s">
        <v>519</v>
      </c>
      <c r="K2" s="73" t="s">
        <v>3</v>
      </c>
    </row>
    <row r="3" spans="3:11" ht="12.75">
      <c r="C3" s="31"/>
      <c r="D3" s="27" t="s">
        <v>297</v>
      </c>
      <c r="E3" s="38"/>
      <c r="F3" s="41" t="s">
        <v>298</v>
      </c>
      <c r="G3" s="27" t="s">
        <v>307</v>
      </c>
      <c r="H3" s="27" t="s">
        <v>490</v>
      </c>
      <c r="I3" s="66" t="s">
        <v>503</v>
      </c>
      <c r="J3" s="27" t="s">
        <v>520</v>
      </c>
      <c r="K3" s="88"/>
    </row>
    <row r="4" spans="3:11" ht="12.75">
      <c r="C4" s="31"/>
      <c r="D4" s="34"/>
      <c r="E4" s="38"/>
      <c r="F4" s="42"/>
      <c r="G4" s="27" t="s">
        <v>308</v>
      </c>
      <c r="H4" s="27"/>
      <c r="I4" s="66" t="s">
        <v>491</v>
      </c>
      <c r="J4" s="28"/>
      <c r="K4" s="88"/>
    </row>
    <row r="5" spans="3:11" ht="12.75">
      <c r="C5" s="31"/>
      <c r="D5" s="115" t="s">
        <v>246</v>
      </c>
      <c r="E5" s="116"/>
      <c r="F5" s="117"/>
      <c r="G5" s="118"/>
      <c r="H5" s="118"/>
      <c r="I5" s="119"/>
      <c r="J5" s="79"/>
      <c r="K5" s="120"/>
    </row>
    <row r="6" spans="3:11" ht="12.75">
      <c r="C6" s="57"/>
      <c r="D6" s="29"/>
      <c r="E6" s="30"/>
      <c r="F6" s="43"/>
      <c r="G6" s="45"/>
      <c r="H6" s="45"/>
      <c r="I6" s="67"/>
      <c r="J6" s="67"/>
      <c r="K6" s="89"/>
    </row>
    <row r="7" spans="4:11" ht="12.75">
      <c r="D7" s="35"/>
      <c r="E7" s="30"/>
      <c r="F7" s="44"/>
      <c r="G7" s="35"/>
      <c r="H7" s="35"/>
      <c r="I7" s="68"/>
      <c r="J7" s="68"/>
      <c r="K7" s="90"/>
    </row>
    <row r="8" spans="3:11" ht="12.75">
      <c r="C8" s="57" t="s">
        <v>264</v>
      </c>
      <c r="D8" s="30" t="s">
        <v>535</v>
      </c>
      <c r="E8" s="30"/>
      <c r="F8" s="44"/>
      <c r="G8" s="35"/>
      <c r="H8" s="35"/>
      <c r="I8" s="68"/>
      <c r="J8" s="68"/>
      <c r="K8" s="90"/>
    </row>
    <row r="9" spans="4:11" ht="12.75">
      <c r="D9" s="35"/>
      <c r="E9" s="30"/>
      <c r="F9" s="44"/>
      <c r="G9" s="35"/>
      <c r="H9" s="35"/>
      <c r="I9" s="68"/>
      <c r="J9" s="68"/>
      <c r="K9" s="90"/>
    </row>
    <row r="10" spans="4:11" ht="12.75">
      <c r="D10" s="30"/>
      <c r="E10" s="30"/>
      <c r="F10" s="43"/>
      <c r="G10" s="43"/>
      <c r="H10" s="43"/>
      <c r="I10" s="68"/>
      <c r="J10" s="68"/>
      <c r="K10" s="90"/>
    </row>
    <row r="11" spans="1:13" ht="12.75">
      <c r="A11" s="3" t="s">
        <v>5</v>
      </c>
      <c r="B11" t="s">
        <v>6</v>
      </c>
      <c r="C11" s="59" t="s">
        <v>309</v>
      </c>
      <c r="D11" s="49">
        <v>48815803.52106266</v>
      </c>
      <c r="E11" s="49">
        <v>0</v>
      </c>
      <c r="F11" s="36">
        <v>0</v>
      </c>
      <c r="G11" s="36">
        <v>0</v>
      </c>
      <c r="H11" s="14">
        <v>0</v>
      </c>
      <c r="I11" s="14">
        <v>0</v>
      </c>
      <c r="J11" s="14">
        <v>0</v>
      </c>
      <c r="K11" s="76">
        <f>SUM(D11:J11)</f>
        <v>48815803.52106266</v>
      </c>
      <c r="M11" s="36"/>
    </row>
    <row r="12" spans="1:13" ht="12.75">
      <c r="A12" s="3" t="s">
        <v>7</v>
      </c>
      <c r="B12" t="s">
        <v>6</v>
      </c>
      <c r="C12" s="59" t="s">
        <v>310</v>
      </c>
      <c r="D12" s="49">
        <v>215930637.95239413</v>
      </c>
      <c r="E12" s="1">
        <v>176284.13999999998</v>
      </c>
      <c r="F12" s="36">
        <v>5612721.88</v>
      </c>
      <c r="G12" s="36">
        <v>0</v>
      </c>
      <c r="H12" s="14">
        <v>0</v>
      </c>
      <c r="I12" s="14">
        <v>0</v>
      </c>
      <c r="J12" s="14">
        <v>0</v>
      </c>
      <c r="K12" s="76">
        <f aca="true" t="shared" si="0" ref="K12:K75">SUM(D12:J12)</f>
        <v>221719643.9723941</v>
      </c>
      <c r="M12" s="36"/>
    </row>
    <row r="13" spans="1:13" ht="12.75">
      <c r="A13" s="3" t="s">
        <v>8</v>
      </c>
      <c r="B13" t="s">
        <v>6</v>
      </c>
      <c r="C13" s="59" t="s">
        <v>311</v>
      </c>
      <c r="D13" s="49">
        <v>39548844.926577434</v>
      </c>
      <c r="E13" s="1">
        <v>117625.56999999998</v>
      </c>
      <c r="F13" s="36">
        <v>0</v>
      </c>
      <c r="G13" s="36">
        <v>0</v>
      </c>
      <c r="H13" s="14">
        <v>0</v>
      </c>
      <c r="I13" s="14">
        <v>0</v>
      </c>
      <c r="J13" s="14">
        <v>0</v>
      </c>
      <c r="K13" s="76">
        <f t="shared" si="0"/>
        <v>39666470.496577434</v>
      </c>
      <c r="M13" s="36"/>
    </row>
    <row r="14" spans="1:13" ht="12.75">
      <c r="A14" s="3" t="s">
        <v>9</v>
      </c>
      <c r="B14" t="s">
        <v>6</v>
      </c>
      <c r="C14" s="59" t="s">
        <v>312</v>
      </c>
      <c r="D14" s="49">
        <v>101510958.15605807</v>
      </c>
      <c r="E14" s="49">
        <v>0</v>
      </c>
      <c r="F14" s="36">
        <v>2470369.51</v>
      </c>
      <c r="G14" s="36">
        <v>0</v>
      </c>
      <c r="H14" s="14">
        <v>0</v>
      </c>
      <c r="I14" s="14">
        <v>0</v>
      </c>
      <c r="J14" s="14">
        <v>0</v>
      </c>
      <c r="K14" s="76">
        <f t="shared" si="0"/>
        <v>103981327.66605808</v>
      </c>
      <c r="M14" s="36"/>
    </row>
    <row r="15" spans="1:13" ht="12.75">
      <c r="A15" s="3" t="s">
        <v>10</v>
      </c>
      <c r="B15" t="s">
        <v>6</v>
      </c>
      <c r="C15" s="59" t="s">
        <v>313</v>
      </c>
      <c r="D15" s="49">
        <v>4725838.460494285</v>
      </c>
      <c r="E15" s="1">
        <v>0</v>
      </c>
      <c r="F15" s="36">
        <v>0</v>
      </c>
      <c r="G15" s="36">
        <v>0</v>
      </c>
      <c r="H15" s="14">
        <v>0</v>
      </c>
      <c r="I15" s="14">
        <v>0</v>
      </c>
      <c r="J15" s="14">
        <v>0</v>
      </c>
      <c r="K15" s="76">
        <f t="shared" si="0"/>
        <v>4725838.460494285</v>
      </c>
      <c r="M15" s="36"/>
    </row>
    <row r="16" spans="1:13" ht="12.75">
      <c r="A16" s="3" t="s">
        <v>11</v>
      </c>
      <c r="B16" t="s">
        <v>6</v>
      </c>
      <c r="C16" s="59" t="s">
        <v>314</v>
      </c>
      <c r="D16" s="49">
        <v>5358308.976305516</v>
      </c>
      <c r="E16" s="1">
        <v>0</v>
      </c>
      <c r="F16" s="36">
        <v>0</v>
      </c>
      <c r="G16" s="36">
        <v>0</v>
      </c>
      <c r="H16" s="14">
        <v>0</v>
      </c>
      <c r="I16" s="14">
        <v>0</v>
      </c>
      <c r="J16" s="14">
        <v>0</v>
      </c>
      <c r="K16" s="76">
        <f t="shared" si="0"/>
        <v>5358308.976305516</v>
      </c>
      <c r="M16" s="36"/>
    </row>
    <row r="17" spans="1:13" ht="12.75">
      <c r="A17" s="3" t="s">
        <v>12</v>
      </c>
      <c r="B17" t="s">
        <v>6</v>
      </c>
      <c r="C17" s="59" t="s">
        <v>315</v>
      </c>
      <c r="D17" s="49">
        <v>57801180.7779641</v>
      </c>
      <c r="E17" s="1">
        <v>156108.45999999996</v>
      </c>
      <c r="F17" s="36">
        <v>0</v>
      </c>
      <c r="G17" s="36">
        <v>0</v>
      </c>
      <c r="H17" s="14">
        <v>0</v>
      </c>
      <c r="I17" s="14">
        <v>0</v>
      </c>
      <c r="J17" s="14">
        <v>0</v>
      </c>
      <c r="K17" s="76">
        <f t="shared" si="0"/>
        <v>57957289.2379641</v>
      </c>
      <c r="M17" s="36"/>
    </row>
    <row r="18" spans="1:13" ht="12.75">
      <c r="A18" s="3" t="s">
        <v>13</v>
      </c>
      <c r="B18" t="s">
        <v>14</v>
      </c>
      <c r="C18" s="59" t="s">
        <v>316</v>
      </c>
      <c r="D18" s="49">
        <v>14545354.488479478</v>
      </c>
      <c r="E18" s="1">
        <v>109636.00000000001</v>
      </c>
      <c r="F18" s="36">
        <v>0</v>
      </c>
      <c r="G18" s="36">
        <v>0</v>
      </c>
      <c r="H18" s="14">
        <v>0</v>
      </c>
      <c r="I18" s="14">
        <v>0</v>
      </c>
      <c r="J18" s="14">
        <v>0</v>
      </c>
      <c r="K18" s="76">
        <f t="shared" si="0"/>
        <v>14654990.488479478</v>
      </c>
      <c r="M18" s="36"/>
    </row>
    <row r="19" spans="1:13" ht="12.75">
      <c r="A19" s="3" t="s">
        <v>15</v>
      </c>
      <c r="B19" t="s">
        <v>14</v>
      </c>
      <c r="C19" s="59" t="s">
        <v>317</v>
      </c>
      <c r="D19" s="49">
        <v>2003841.7959051866</v>
      </c>
      <c r="E19" s="49">
        <v>0</v>
      </c>
      <c r="F19" s="36">
        <v>0</v>
      </c>
      <c r="G19" s="36">
        <v>0</v>
      </c>
      <c r="H19" s="14">
        <v>0</v>
      </c>
      <c r="I19" s="14">
        <v>0</v>
      </c>
      <c r="J19" s="14">
        <v>0</v>
      </c>
      <c r="K19" s="76">
        <f t="shared" si="0"/>
        <v>2003841.7959051866</v>
      </c>
      <c r="M19" s="36"/>
    </row>
    <row r="20" spans="1:13" ht="12.75">
      <c r="A20" s="3" t="s">
        <v>16</v>
      </c>
      <c r="B20" t="s">
        <v>17</v>
      </c>
      <c r="C20" s="59" t="s">
        <v>318</v>
      </c>
      <c r="D20" s="49">
        <v>8709242.79048374</v>
      </c>
      <c r="E20" s="49">
        <v>75967.5</v>
      </c>
      <c r="F20" s="36">
        <v>0</v>
      </c>
      <c r="G20" s="36">
        <v>0</v>
      </c>
      <c r="H20" s="14">
        <v>0</v>
      </c>
      <c r="I20" s="14">
        <v>0</v>
      </c>
      <c r="J20" s="14">
        <v>0</v>
      </c>
      <c r="K20" s="76">
        <f t="shared" si="0"/>
        <v>8785210.29048374</v>
      </c>
      <c r="M20" s="36"/>
    </row>
    <row r="21" spans="1:13" ht="12.75">
      <c r="A21" s="3" t="s">
        <v>18</v>
      </c>
      <c r="B21" t="s">
        <v>17</v>
      </c>
      <c r="C21" s="59" t="s">
        <v>319</v>
      </c>
      <c r="D21" s="49">
        <v>8287137.188171898</v>
      </c>
      <c r="E21" s="1">
        <v>0</v>
      </c>
      <c r="F21" s="36">
        <v>0</v>
      </c>
      <c r="G21" s="36">
        <v>0</v>
      </c>
      <c r="H21" s="14">
        <v>0</v>
      </c>
      <c r="I21" s="14">
        <v>0</v>
      </c>
      <c r="J21" s="14">
        <v>0</v>
      </c>
      <c r="K21" s="76">
        <f t="shared" si="0"/>
        <v>8287137.188171898</v>
      </c>
      <c r="M21" s="36"/>
    </row>
    <row r="22" spans="1:13" ht="12.75">
      <c r="A22" s="3" t="s">
        <v>19</v>
      </c>
      <c r="B22" t="s">
        <v>17</v>
      </c>
      <c r="C22" s="59" t="s">
        <v>320</v>
      </c>
      <c r="D22" s="49">
        <v>291667369.55971813</v>
      </c>
      <c r="E22" s="1">
        <v>96775.00000000001</v>
      </c>
      <c r="F22" s="36">
        <v>275437.57</v>
      </c>
      <c r="G22" s="36">
        <v>0</v>
      </c>
      <c r="H22" s="14">
        <v>289.2380641698837</v>
      </c>
      <c r="I22" s="14">
        <v>0</v>
      </c>
      <c r="J22" s="14">
        <v>0</v>
      </c>
      <c r="K22" s="76">
        <f t="shared" si="0"/>
        <v>292039871.3677823</v>
      </c>
      <c r="M22" s="36"/>
    </row>
    <row r="23" spans="1:13" ht="12.75">
      <c r="A23" s="3" t="s">
        <v>20</v>
      </c>
      <c r="B23" t="s">
        <v>17</v>
      </c>
      <c r="C23" s="59" t="s">
        <v>321</v>
      </c>
      <c r="D23" s="49">
        <v>66144003.24926826</v>
      </c>
      <c r="E23" s="1">
        <v>119445.77999999998</v>
      </c>
      <c r="F23" s="36">
        <v>812710.63</v>
      </c>
      <c r="G23" s="36">
        <v>0</v>
      </c>
      <c r="H23" s="14">
        <v>77.92661121487617</v>
      </c>
      <c r="I23" s="14">
        <v>0</v>
      </c>
      <c r="J23" s="14">
        <v>0</v>
      </c>
      <c r="K23" s="76">
        <f t="shared" si="0"/>
        <v>67076237.58587948</v>
      </c>
      <c r="M23" s="36"/>
    </row>
    <row r="24" spans="1:13" ht="12.75">
      <c r="A24" s="3" t="s">
        <v>21</v>
      </c>
      <c r="B24" t="s">
        <v>17</v>
      </c>
      <c r="C24" s="59" t="s">
        <v>322</v>
      </c>
      <c r="D24" s="49">
        <v>1545832.3168347294</v>
      </c>
      <c r="E24" s="1">
        <v>0</v>
      </c>
      <c r="F24" s="36">
        <v>0</v>
      </c>
      <c r="G24" s="36">
        <v>0</v>
      </c>
      <c r="H24" s="14">
        <v>5715.43</v>
      </c>
      <c r="I24" s="14">
        <v>0</v>
      </c>
      <c r="J24" s="14">
        <v>0</v>
      </c>
      <c r="K24" s="76">
        <f t="shared" si="0"/>
        <v>1551547.7468347293</v>
      </c>
      <c r="M24" s="36"/>
    </row>
    <row r="25" spans="1:13" ht="12.75">
      <c r="A25" s="3" t="s">
        <v>22</v>
      </c>
      <c r="B25" t="s">
        <v>17</v>
      </c>
      <c r="C25" s="59" t="s">
        <v>323</v>
      </c>
      <c r="D25" s="49">
        <v>249499179.426098</v>
      </c>
      <c r="E25" s="1">
        <v>86045.40000000002</v>
      </c>
      <c r="F25" s="36">
        <v>3127843.3100000005</v>
      </c>
      <c r="G25" s="36">
        <v>0</v>
      </c>
      <c r="H25" s="14">
        <v>0</v>
      </c>
      <c r="I25" s="14">
        <v>0</v>
      </c>
      <c r="J25" s="14">
        <v>0</v>
      </c>
      <c r="K25" s="76">
        <f t="shared" si="0"/>
        <v>252713068.136098</v>
      </c>
      <c r="M25" s="36"/>
    </row>
    <row r="26" spans="1:13" ht="12.75">
      <c r="A26" s="3" t="s">
        <v>23</v>
      </c>
      <c r="B26" t="s">
        <v>17</v>
      </c>
      <c r="C26" s="59" t="s">
        <v>324</v>
      </c>
      <c r="D26" s="49">
        <v>19767771.461218674</v>
      </c>
      <c r="E26" s="1">
        <v>0</v>
      </c>
      <c r="F26" s="36">
        <v>0</v>
      </c>
      <c r="G26" s="36">
        <v>0</v>
      </c>
      <c r="H26" s="14">
        <v>0</v>
      </c>
      <c r="I26" s="14">
        <v>0</v>
      </c>
      <c r="J26" s="14">
        <v>0</v>
      </c>
      <c r="K26" s="76">
        <f t="shared" si="0"/>
        <v>19767771.461218674</v>
      </c>
      <c r="M26" s="36"/>
    </row>
    <row r="27" spans="1:13" ht="12.75">
      <c r="A27" s="3" t="s">
        <v>24</v>
      </c>
      <c r="B27" t="s">
        <v>25</v>
      </c>
      <c r="C27" s="59" t="s">
        <v>325</v>
      </c>
      <c r="D27" s="49">
        <v>6835353.266518607</v>
      </c>
      <c r="E27" s="1">
        <v>0</v>
      </c>
      <c r="F27" s="36">
        <v>0</v>
      </c>
      <c r="G27" s="36">
        <v>0</v>
      </c>
      <c r="H27" s="14">
        <v>0</v>
      </c>
      <c r="I27" s="14">
        <v>0</v>
      </c>
      <c r="J27" s="14">
        <v>0</v>
      </c>
      <c r="K27" s="76">
        <f t="shared" si="0"/>
        <v>6835353.266518607</v>
      </c>
      <c r="M27" s="36"/>
    </row>
    <row r="28" spans="1:13" ht="12.75">
      <c r="A28" s="3" t="s">
        <v>26</v>
      </c>
      <c r="B28" t="s">
        <v>27</v>
      </c>
      <c r="C28" s="59" t="s">
        <v>326</v>
      </c>
      <c r="D28" s="49">
        <v>1521149.9202562878</v>
      </c>
      <c r="E28" s="1">
        <v>0</v>
      </c>
      <c r="F28" s="36">
        <v>0</v>
      </c>
      <c r="G28" s="36">
        <v>0</v>
      </c>
      <c r="H28" s="14">
        <v>0</v>
      </c>
      <c r="I28" s="14">
        <v>0</v>
      </c>
      <c r="J28" s="14">
        <v>0</v>
      </c>
      <c r="K28" s="76">
        <f t="shared" si="0"/>
        <v>1521149.9202562878</v>
      </c>
      <c r="M28" s="36"/>
    </row>
    <row r="29" spans="1:13" ht="12.75">
      <c r="A29" s="3" t="s">
        <v>28</v>
      </c>
      <c r="B29" t="s">
        <v>27</v>
      </c>
      <c r="C29" s="59" t="s">
        <v>327</v>
      </c>
      <c r="D29" s="49">
        <v>505444.17619695637</v>
      </c>
      <c r="E29" s="1">
        <v>0</v>
      </c>
      <c r="F29" s="36">
        <v>0</v>
      </c>
      <c r="G29" s="36">
        <v>0</v>
      </c>
      <c r="H29" s="14">
        <v>6880.56</v>
      </c>
      <c r="I29" s="14">
        <v>0</v>
      </c>
      <c r="J29" s="14">
        <v>0</v>
      </c>
      <c r="K29" s="76">
        <f t="shared" si="0"/>
        <v>512324.73619695636</v>
      </c>
      <c r="M29" s="36"/>
    </row>
    <row r="30" spans="1:13" ht="12.75">
      <c r="A30" s="3" t="s">
        <v>29</v>
      </c>
      <c r="B30" t="s">
        <v>27</v>
      </c>
      <c r="C30" s="59" t="s">
        <v>328</v>
      </c>
      <c r="D30" s="49">
        <v>2225629.2655690764</v>
      </c>
      <c r="E30" s="1">
        <v>0</v>
      </c>
      <c r="F30" s="36">
        <v>0</v>
      </c>
      <c r="G30" s="36">
        <v>0</v>
      </c>
      <c r="H30" s="14">
        <v>0</v>
      </c>
      <c r="I30" s="14">
        <v>0</v>
      </c>
      <c r="J30" s="14">
        <v>0</v>
      </c>
      <c r="K30" s="76">
        <f t="shared" si="0"/>
        <v>2225629.2655690764</v>
      </c>
      <c r="M30" s="36"/>
    </row>
    <row r="31" spans="1:13" ht="12.75">
      <c r="A31" s="3" t="s">
        <v>30</v>
      </c>
      <c r="B31" t="s">
        <v>27</v>
      </c>
      <c r="C31" s="59" t="s">
        <v>329</v>
      </c>
      <c r="D31" s="49">
        <v>629861.2377768303</v>
      </c>
      <c r="E31" s="1">
        <v>0</v>
      </c>
      <c r="F31" s="36">
        <v>0</v>
      </c>
      <c r="G31" s="36">
        <v>0</v>
      </c>
      <c r="H31" s="14">
        <v>16200</v>
      </c>
      <c r="I31" s="14">
        <v>0</v>
      </c>
      <c r="J31" s="14">
        <v>0</v>
      </c>
      <c r="K31" s="76">
        <f t="shared" si="0"/>
        <v>646061.2377768303</v>
      </c>
      <c r="M31" s="36"/>
    </row>
    <row r="32" spans="1:13" ht="12.75">
      <c r="A32" s="3" t="s">
        <v>31</v>
      </c>
      <c r="B32" t="s">
        <v>27</v>
      </c>
      <c r="C32" s="59" t="s">
        <v>330</v>
      </c>
      <c r="D32" s="49">
        <v>654259.3840251263</v>
      </c>
      <c r="E32" s="1">
        <v>0</v>
      </c>
      <c r="F32" s="36">
        <v>0</v>
      </c>
      <c r="G32" s="36">
        <v>0</v>
      </c>
      <c r="H32" s="14">
        <v>0</v>
      </c>
      <c r="I32" s="14">
        <v>0</v>
      </c>
      <c r="J32" s="14">
        <v>0</v>
      </c>
      <c r="K32" s="76">
        <f t="shared" si="0"/>
        <v>654259.3840251263</v>
      </c>
      <c r="M32" s="36"/>
    </row>
    <row r="33" spans="1:13" ht="12.75">
      <c r="A33" s="3" t="s">
        <v>32</v>
      </c>
      <c r="B33" t="s">
        <v>33</v>
      </c>
      <c r="C33" s="59" t="s">
        <v>331</v>
      </c>
      <c r="D33" s="49">
        <v>17575671.76377456</v>
      </c>
      <c r="E33" s="1">
        <v>0</v>
      </c>
      <c r="F33" s="36">
        <v>0</v>
      </c>
      <c r="G33" s="36">
        <v>0</v>
      </c>
      <c r="H33" s="14">
        <v>501780.2</v>
      </c>
      <c r="I33" s="14">
        <v>0</v>
      </c>
      <c r="J33" s="14">
        <v>0</v>
      </c>
      <c r="K33" s="76">
        <f t="shared" si="0"/>
        <v>18077451.96377456</v>
      </c>
      <c r="M33" s="36"/>
    </row>
    <row r="34" spans="1:13" ht="12.75">
      <c r="A34" s="3" t="s">
        <v>35</v>
      </c>
      <c r="B34" t="s">
        <v>33</v>
      </c>
      <c r="C34" s="59" t="s">
        <v>332</v>
      </c>
      <c r="D34" s="49">
        <v>2266990.1071877684</v>
      </c>
      <c r="E34" s="1">
        <v>0</v>
      </c>
      <c r="F34" s="36">
        <v>0</v>
      </c>
      <c r="G34" s="36">
        <v>0</v>
      </c>
      <c r="H34" s="14">
        <v>0</v>
      </c>
      <c r="I34" s="14">
        <v>0</v>
      </c>
      <c r="J34" s="14">
        <v>0</v>
      </c>
      <c r="K34" s="76">
        <f t="shared" si="0"/>
        <v>2266990.1071877684</v>
      </c>
      <c r="M34" s="36"/>
    </row>
    <row r="35" spans="1:13" ht="12.75">
      <c r="A35" s="3" t="s">
        <v>36</v>
      </c>
      <c r="B35" t="s">
        <v>37</v>
      </c>
      <c r="C35" s="59" t="s">
        <v>333</v>
      </c>
      <c r="D35" s="49">
        <v>144045970.35684583</v>
      </c>
      <c r="E35" s="1">
        <v>229733.39999999997</v>
      </c>
      <c r="F35" s="36">
        <v>3461305.0400000005</v>
      </c>
      <c r="G35" s="36">
        <v>0</v>
      </c>
      <c r="H35" s="14">
        <v>0</v>
      </c>
      <c r="I35" s="14">
        <v>0</v>
      </c>
      <c r="J35" s="14">
        <v>0</v>
      </c>
      <c r="K35" s="76">
        <f t="shared" si="0"/>
        <v>147737008.79684582</v>
      </c>
      <c r="M35" s="36"/>
    </row>
    <row r="36" spans="1:13" ht="12.75">
      <c r="A36" s="3" t="s">
        <v>38</v>
      </c>
      <c r="B36" t="s">
        <v>37</v>
      </c>
      <c r="C36" s="59" t="s">
        <v>334</v>
      </c>
      <c r="D36" s="49">
        <v>61427556.020044915</v>
      </c>
      <c r="E36" s="1">
        <v>242760.19999999995</v>
      </c>
      <c r="F36" s="36">
        <v>1433596.3399999999</v>
      </c>
      <c r="G36" s="36">
        <v>0</v>
      </c>
      <c r="H36" s="14">
        <v>0</v>
      </c>
      <c r="I36" s="14">
        <v>0</v>
      </c>
      <c r="J36" s="14">
        <v>0</v>
      </c>
      <c r="K36" s="76">
        <f t="shared" si="0"/>
        <v>63103912.560044914</v>
      </c>
      <c r="M36" s="36"/>
    </row>
    <row r="37" spans="1:13" ht="12.75">
      <c r="A37" s="3" t="s">
        <v>39</v>
      </c>
      <c r="B37" t="s">
        <v>40</v>
      </c>
      <c r="C37" s="59" t="s">
        <v>335</v>
      </c>
      <c r="D37" s="49">
        <v>4714854.76499496</v>
      </c>
      <c r="E37" s="1">
        <v>42978</v>
      </c>
      <c r="F37" s="36">
        <v>0</v>
      </c>
      <c r="G37" s="36">
        <v>0</v>
      </c>
      <c r="H37" s="14">
        <v>0</v>
      </c>
      <c r="I37" s="14">
        <v>0</v>
      </c>
      <c r="J37" s="14">
        <v>0</v>
      </c>
      <c r="K37" s="76">
        <f t="shared" si="0"/>
        <v>4757832.76499496</v>
      </c>
      <c r="M37" s="36"/>
    </row>
    <row r="38" spans="1:13" ht="12.75">
      <c r="A38" s="3" t="s">
        <v>41</v>
      </c>
      <c r="B38" t="s">
        <v>40</v>
      </c>
      <c r="C38" s="59" t="s">
        <v>336</v>
      </c>
      <c r="D38" s="49">
        <v>5745560.58414914</v>
      </c>
      <c r="E38" s="1">
        <v>58308.990000000005</v>
      </c>
      <c r="F38" s="36">
        <v>0</v>
      </c>
      <c r="G38" s="36">
        <v>0</v>
      </c>
      <c r="H38" s="14">
        <v>0</v>
      </c>
      <c r="I38" s="14">
        <v>0</v>
      </c>
      <c r="J38" s="14">
        <v>0</v>
      </c>
      <c r="K38" s="76">
        <f t="shared" si="0"/>
        <v>5803869.57414914</v>
      </c>
      <c r="M38" s="36"/>
    </row>
    <row r="39" spans="1:13" ht="12.75">
      <c r="A39" s="3" t="s">
        <v>42</v>
      </c>
      <c r="B39" t="s">
        <v>43</v>
      </c>
      <c r="C39" s="59" t="s">
        <v>337</v>
      </c>
      <c r="D39" s="49">
        <v>1190258.8792390097</v>
      </c>
      <c r="E39" s="1">
        <v>0</v>
      </c>
      <c r="F39" s="36">
        <v>0</v>
      </c>
      <c r="G39" s="36">
        <v>0</v>
      </c>
      <c r="H39" s="14">
        <v>0</v>
      </c>
      <c r="I39" s="14">
        <v>0</v>
      </c>
      <c r="J39" s="14">
        <v>0</v>
      </c>
      <c r="K39" s="76">
        <f t="shared" si="0"/>
        <v>1190258.8792390097</v>
      </c>
      <c r="M39" s="36"/>
    </row>
    <row r="40" spans="1:13" ht="12.75">
      <c r="A40" s="3" t="s">
        <v>45</v>
      </c>
      <c r="B40" t="s">
        <v>43</v>
      </c>
      <c r="C40" s="59" t="s">
        <v>338</v>
      </c>
      <c r="D40" s="49">
        <v>1733188.550210304</v>
      </c>
      <c r="E40" s="1">
        <v>0</v>
      </c>
      <c r="F40" s="36">
        <v>0</v>
      </c>
      <c r="G40" s="36">
        <v>0</v>
      </c>
      <c r="H40" s="14">
        <v>0</v>
      </c>
      <c r="I40" s="14">
        <v>0</v>
      </c>
      <c r="J40" s="14">
        <v>0</v>
      </c>
      <c r="K40" s="76">
        <f t="shared" si="0"/>
        <v>1733188.550210304</v>
      </c>
      <c r="M40" s="36"/>
    </row>
    <row r="41" spans="1:13" ht="12.75">
      <c r="A41" s="3" t="s">
        <v>46</v>
      </c>
      <c r="B41" t="s">
        <v>47</v>
      </c>
      <c r="C41" s="59" t="s">
        <v>339</v>
      </c>
      <c r="D41" s="49">
        <v>1414109.4102318226</v>
      </c>
      <c r="E41" s="1">
        <v>0</v>
      </c>
      <c r="F41" s="36">
        <v>0</v>
      </c>
      <c r="G41" s="36">
        <v>0</v>
      </c>
      <c r="H41" s="14">
        <v>2018.4</v>
      </c>
      <c r="I41" s="14">
        <v>0</v>
      </c>
      <c r="J41" s="14">
        <v>0</v>
      </c>
      <c r="K41" s="76">
        <f t="shared" si="0"/>
        <v>1416127.8102318225</v>
      </c>
      <c r="M41" s="36"/>
    </row>
    <row r="42" spans="1:13" ht="12.75">
      <c r="A42" s="3" t="s">
        <v>48</v>
      </c>
      <c r="B42" t="s">
        <v>49</v>
      </c>
      <c r="C42" s="59" t="s">
        <v>340</v>
      </c>
      <c r="D42" s="49">
        <v>7682242.108876781</v>
      </c>
      <c r="E42" s="1">
        <v>0</v>
      </c>
      <c r="F42" s="36">
        <v>0</v>
      </c>
      <c r="G42" s="36">
        <v>0</v>
      </c>
      <c r="H42" s="14">
        <v>0</v>
      </c>
      <c r="I42" s="14">
        <v>0</v>
      </c>
      <c r="J42" s="14">
        <v>0</v>
      </c>
      <c r="K42" s="76">
        <f t="shared" si="0"/>
        <v>7682242.108876781</v>
      </c>
      <c r="M42" s="36"/>
    </row>
    <row r="43" spans="1:13" ht="12.75">
      <c r="A43" s="3" t="s">
        <v>50</v>
      </c>
      <c r="B43" t="s">
        <v>49</v>
      </c>
      <c r="C43" s="59" t="s">
        <v>341</v>
      </c>
      <c r="D43" s="49">
        <v>3294398.2712325575</v>
      </c>
      <c r="E43" s="1">
        <v>0</v>
      </c>
      <c r="F43" s="36">
        <v>0</v>
      </c>
      <c r="G43" s="36">
        <v>0</v>
      </c>
      <c r="H43" s="14">
        <v>0</v>
      </c>
      <c r="I43" s="14">
        <v>0</v>
      </c>
      <c r="J43" s="14">
        <v>0</v>
      </c>
      <c r="K43" s="76">
        <f t="shared" si="0"/>
        <v>3294398.2712325575</v>
      </c>
      <c r="M43" s="36"/>
    </row>
    <row r="44" spans="1:13" ht="12.75">
      <c r="A44" s="3" t="s">
        <v>51</v>
      </c>
      <c r="B44" t="s">
        <v>49</v>
      </c>
      <c r="C44" s="59" t="s">
        <v>342</v>
      </c>
      <c r="D44" s="49">
        <v>1947499.70877135</v>
      </c>
      <c r="E44" s="1">
        <v>0</v>
      </c>
      <c r="F44" s="36">
        <v>0</v>
      </c>
      <c r="G44" s="36">
        <v>0</v>
      </c>
      <c r="H44" s="14">
        <v>0</v>
      </c>
      <c r="I44" s="14">
        <v>0</v>
      </c>
      <c r="J44" s="14">
        <v>0</v>
      </c>
      <c r="K44" s="76">
        <f t="shared" si="0"/>
        <v>1947499.70877135</v>
      </c>
      <c r="M44" s="36"/>
    </row>
    <row r="45" spans="1:13" ht="12.75">
      <c r="A45" s="3" t="s">
        <v>52</v>
      </c>
      <c r="B45" t="s">
        <v>53</v>
      </c>
      <c r="C45" s="59" t="s">
        <v>343</v>
      </c>
      <c r="D45" s="49">
        <v>1670521.9536496454</v>
      </c>
      <c r="E45" s="1">
        <v>0</v>
      </c>
      <c r="F45" s="36">
        <v>0</v>
      </c>
      <c r="G45" s="36">
        <v>0</v>
      </c>
      <c r="H45" s="14">
        <v>0</v>
      </c>
      <c r="I45" s="14">
        <v>0</v>
      </c>
      <c r="J45" s="14">
        <v>0</v>
      </c>
      <c r="K45" s="76">
        <f t="shared" si="0"/>
        <v>1670521.9536496454</v>
      </c>
      <c r="M45" s="36"/>
    </row>
    <row r="46" spans="1:13" ht="12.75">
      <c r="A46" s="3" t="s">
        <v>54</v>
      </c>
      <c r="B46" t="s">
        <v>53</v>
      </c>
      <c r="C46" s="59" t="s">
        <v>344</v>
      </c>
      <c r="D46" s="49">
        <v>1125965.8805375362</v>
      </c>
      <c r="E46" s="1">
        <v>0</v>
      </c>
      <c r="F46" s="36">
        <v>0</v>
      </c>
      <c r="G46" s="36">
        <v>0</v>
      </c>
      <c r="H46" s="14">
        <v>2.1315395939163864</v>
      </c>
      <c r="I46" s="14">
        <v>0</v>
      </c>
      <c r="J46" s="14">
        <v>0</v>
      </c>
      <c r="K46" s="76">
        <f t="shared" si="0"/>
        <v>1125968.0120771301</v>
      </c>
      <c r="M46" s="36"/>
    </row>
    <row r="47" spans="1:13" ht="12.75">
      <c r="A47" s="3" t="s">
        <v>55</v>
      </c>
      <c r="B47" t="s">
        <v>56</v>
      </c>
      <c r="C47" s="59" t="s">
        <v>345</v>
      </c>
      <c r="D47" s="49">
        <v>3266052.507799702</v>
      </c>
      <c r="E47" s="1">
        <v>0</v>
      </c>
      <c r="F47" s="36">
        <v>0</v>
      </c>
      <c r="G47" s="36">
        <v>0</v>
      </c>
      <c r="H47" s="14">
        <v>0</v>
      </c>
      <c r="I47" s="14">
        <v>0</v>
      </c>
      <c r="J47" s="14">
        <v>0</v>
      </c>
      <c r="K47" s="76">
        <f t="shared" si="0"/>
        <v>3266052.507799702</v>
      </c>
      <c r="M47" s="36"/>
    </row>
    <row r="48" spans="1:13" ht="12.75">
      <c r="A48" s="3" t="s">
        <v>57</v>
      </c>
      <c r="B48" t="s">
        <v>58</v>
      </c>
      <c r="C48" s="59" t="s">
        <v>346</v>
      </c>
      <c r="D48" s="49">
        <v>1101425.3305834364</v>
      </c>
      <c r="E48" s="1">
        <v>0</v>
      </c>
      <c r="F48" s="36">
        <v>0</v>
      </c>
      <c r="G48" s="36">
        <v>0</v>
      </c>
      <c r="H48" s="14">
        <v>0</v>
      </c>
      <c r="I48" s="14">
        <v>-2.49</v>
      </c>
      <c r="J48" s="14">
        <v>0</v>
      </c>
      <c r="K48" s="76">
        <f t="shared" si="0"/>
        <v>1101422.8405834364</v>
      </c>
      <c r="M48" s="36"/>
    </row>
    <row r="49" spans="1:13" ht="12.75">
      <c r="A49" s="3" t="s">
        <v>59</v>
      </c>
      <c r="B49" t="s">
        <v>60</v>
      </c>
      <c r="C49" s="59" t="s">
        <v>347</v>
      </c>
      <c r="D49" s="49">
        <v>27536143.40521807</v>
      </c>
      <c r="E49" s="1">
        <v>67183.46</v>
      </c>
      <c r="F49" s="36">
        <v>0</v>
      </c>
      <c r="G49" s="36">
        <v>0</v>
      </c>
      <c r="H49" s="14">
        <v>0</v>
      </c>
      <c r="I49" s="14">
        <v>0</v>
      </c>
      <c r="J49" s="14">
        <v>0</v>
      </c>
      <c r="K49" s="76">
        <f t="shared" si="0"/>
        <v>27603326.86521807</v>
      </c>
      <c r="M49" s="36"/>
    </row>
    <row r="50" spans="1:13" ht="12.75">
      <c r="A50" s="3" t="s">
        <v>61</v>
      </c>
      <c r="B50" t="s">
        <v>62</v>
      </c>
      <c r="C50" s="59" t="s">
        <v>348</v>
      </c>
      <c r="D50" s="49">
        <v>277847849.6879705</v>
      </c>
      <c r="E50" s="1">
        <v>323594.42</v>
      </c>
      <c r="F50" s="36">
        <v>1145502.22</v>
      </c>
      <c r="G50" s="36">
        <v>0</v>
      </c>
      <c r="H50" s="14">
        <v>0</v>
      </c>
      <c r="I50" s="14">
        <v>0</v>
      </c>
      <c r="J50" s="14">
        <v>0</v>
      </c>
      <c r="K50" s="76">
        <f t="shared" si="0"/>
        <v>279316946.32797056</v>
      </c>
      <c r="M50" s="36"/>
    </row>
    <row r="51" spans="1:13" ht="12.75">
      <c r="A51" s="3" t="s">
        <v>63</v>
      </c>
      <c r="B51" t="s">
        <v>64</v>
      </c>
      <c r="C51" s="59" t="s">
        <v>349</v>
      </c>
      <c r="D51" s="49">
        <v>848688.8749034094</v>
      </c>
      <c r="E51" s="1">
        <v>0</v>
      </c>
      <c r="F51" s="36">
        <v>0</v>
      </c>
      <c r="G51" s="36">
        <v>0</v>
      </c>
      <c r="H51" s="14">
        <v>0</v>
      </c>
      <c r="I51" s="14">
        <v>0</v>
      </c>
      <c r="J51" s="14">
        <v>0</v>
      </c>
      <c r="K51" s="76">
        <f t="shared" si="0"/>
        <v>848688.8749034094</v>
      </c>
      <c r="M51" s="36"/>
    </row>
    <row r="52" spans="1:13" ht="12.75">
      <c r="A52" s="3" t="s">
        <v>65</v>
      </c>
      <c r="B52" t="s">
        <v>66</v>
      </c>
      <c r="C52" s="59" t="s">
        <v>350</v>
      </c>
      <c r="D52" s="49">
        <v>306762520.1125581</v>
      </c>
      <c r="E52" s="1">
        <v>89300.55</v>
      </c>
      <c r="F52" s="36">
        <v>12465985.450000001</v>
      </c>
      <c r="G52" s="36">
        <v>0</v>
      </c>
      <c r="H52" s="14">
        <v>0</v>
      </c>
      <c r="I52" s="14">
        <v>0</v>
      </c>
      <c r="J52" s="14">
        <v>0</v>
      </c>
      <c r="K52" s="76">
        <f t="shared" si="0"/>
        <v>319317806.1125581</v>
      </c>
      <c r="M52" s="36"/>
    </row>
    <row r="53" spans="1:13" ht="12.75">
      <c r="A53" s="3" t="s">
        <v>67</v>
      </c>
      <c r="B53" t="s">
        <v>68</v>
      </c>
      <c r="C53" s="59" t="s">
        <v>351</v>
      </c>
      <c r="D53" s="49">
        <v>19971650.49534403</v>
      </c>
      <c r="E53" s="49">
        <v>0</v>
      </c>
      <c r="F53" s="36">
        <v>0</v>
      </c>
      <c r="G53" s="36">
        <v>0</v>
      </c>
      <c r="H53" s="14">
        <v>34.895192604511976</v>
      </c>
      <c r="I53" s="14">
        <v>0</v>
      </c>
      <c r="J53" s="14">
        <v>0</v>
      </c>
      <c r="K53" s="76">
        <f t="shared" si="0"/>
        <v>19971685.390536636</v>
      </c>
      <c r="M53" s="36"/>
    </row>
    <row r="54" spans="1:13" ht="12.75">
      <c r="A54" s="3" t="s">
        <v>69</v>
      </c>
      <c r="B54" t="s">
        <v>70</v>
      </c>
      <c r="C54" s="59" t="s">
        <v>352</v>
      </c>
      <c r="D54" s="49">
        <v>11298230.80695802</v>
      </c>
      <c r="E54" s="1">
        <v>0</v>
      </c>
      <c r="F54" s="36">
        <v>479760.5</v>
      </c>
      <c r="G54" s="36">
        <v>0</v>
      </c>
      <c r="H54" s="14">
        <v>0</v>
      </c>
      <c r="I54" s="14">
        <v>0</v>
      </c>
      <c r="J54" s="14">
        <v>0</v>
      </c>
      <c r="K54" s="76">
        <f t="shared" si="0"/>
        <v>11777991.30695802</v>
      </c>
      <c r="M54" s="36"/>
    </row>
    <row r="55" spans="1:13" ht="12.75">
      <c r="A55" s="3" t="s">
        <v>71</v>
      </c>
      <c r="B55" t="s">
        <v>70</v>
      </c>
      <c r="C55" s="59" t="s">
        <v>353</v>
      </c>
      <c r="D55" s="49">
        <v>2191719.543882164</v>
      </c>
      <c r="E55" s="1">
        <v>0</v>
      </c>
      <c r="F55" s="36">
        <v>0</v>
      </c>
      <c r="G55" s="36">
        <v>0</v>
      </c>
      <c r="H55" s="14">
        <v>0</v>
      </c>
      <c r="I55" s="14">
        <v>0</v>
      </c>
      <c r="J55" s="14">
        <v>0</v>
      </c>
      <c r="K55" s="76">
        <f t="shared" si="0"/>
        <v>2191719.543882164</v>
      </c>
      <c r="M55" s="36"/>
    </row>
    <row r="56" spans="1:13" ht="12.75">
      <c r="A56" s="3" t="s">
        <v>73</v>
      </c>
      <c r="B56" t="s">
        <v>70</v>
      </c>
      <c r="C56" s="59" t="s">
        <v>354</v>
      </c>
      <c r="D56" s="49">
        <v>2836130.243952969</v>
      </c>
      <c r="E56" s="1">
        <v>0</v>
      </c>
      <c r="F56" s="36">
        <v>0</v>
      </c>
      <c r="G56" s="36">
        <v>0</v>
      </c>
      <c r="H56" s="14">
        <v>0</v>
      </c>
      <c r="I56" s="14">
        <v>0</v>
      </c>
      <c r="J56" s="14">
        <v>0</v>
      </c>
      <c r="K56" s="76">
        <f t="shared" si="0"/>
        <v>2836130.243952969</v>
      </c>
      <c r="M56" s="36"/>
    </row>
    <row r="57" spans="1:13" ht="12.75">
      <c r="A57" s="3" t="s">
        <v>74</v>
      </c>
      <c r="B57" t="s">
        <v>70</v>
      </c>
      <c r="C57" s="59" t="s">
        <v>355</v>
      </c>
      <c r="D57" s="49">
        <v>2345874.5324819065</v>
      </c>
      <c r="E57" s="1">
        <v>0</v>
      </c>
      <c r="F57" s="36">
        <v>0</v>
      </c>
      <c r="G57" s="36">
        <v>0</v>
      </c>
      <c r="H57" s="14">
        <v>0</v>
      </c>
      <c r="I57" s="14">
        <v>0</v>
      </c>
      <c r="J57" s="14">
        <v>0</v>
      </c>
      <c r="K57" s="76">
        <f t="shared" si="0"/>
        <v>2345874.5324819065</v>
      </c>
      <c r="M57" s="36"/>
    </row>
    <row r="58" spans="1:13" ht="12.75">
      <c r="A58" s="3" t="s">
        <v>75</v>
      </c>
      <c r="B58" t="s">
        <v>70</v>
      </c>
      <c r="C58" s="59" t="s">
        <v>356</v>
      </c>
      <c r="D58" s="49">
        <v>570374.8331471143</v>
      </c>
      <c r="E58" s="1">
        <v>0</v>
      </c>
      <c r="F58" s="36">
        <v>0</v>
      </c>
      <c r="G58" s="36">
        <v>0</v>
      </c>
      <c r="H58" s="14">
        <v>0</v>
      </c>
      <c r="I58" s="14">
        <v>0</v>
      </c>
      <c r="J58" s="14">
        <v>0</v>
      </c>
      <c r="K58" s="76">
        <f t="shared" si="0"/>
        <v>570374.8331471143</v>
      </c>
      <c r="M58" s="36"/>
    </row>
    <row r="59" spans="1:13" ht="12.75">
      <c r="A59" s="3" t="s">
        <v>76</v>
      </c>
      <c r="B59" t="s">
        <v>77</v>
      </c>
      <c r="C59" s="59" t="s">
        <v>357</v>
      </c>
      <c r="D59" s="49">
        <v>2952745.1039425004</v>
      </c>
      <c r="E59" s="1">
        <v>0</v>
      </c>
      <c r="F59" s="36">
        <v>0</v>
      </c>
      <c r="G59" s="36">
        <v>0</v>
      </c>
      <c r="H59" s="14">
        <v>0</v>
      </c>
      <c r="I59" s="14">
        <v>0</v>
      </c>
      <c r="J59" s="14">
        <v>0</v>
      </c>
      <c r="K59" s="76">
        <f t="shared" si="0"/>
        <v>2952745.1039425004</v>
      </c>
      <c r="M59" s="36"/>
    </row>
    <row r="60" spans="1:13" ht="12.75">
      <c r="A60" s="3" t="s">
        <v>78</v>
      </c>
      <c r="B60" t="s">
        <v>77</v>
      </c>
      <c r="C60" s="59" t="s">
        <v>358</v>
      </c>
      <c r="D60" s="49">
        <v>80726494.0244836</v>
      </c>
      <c r="E60" s="1">
        <v>75376.09977306995</v>
      </c>
      <c r="F60" s="36">
        <v>1886565.24</v>
      </c>
      <c r="G60" s="36">
        <v>0</v>
      </c>
      <c r="H60" s="14">
        <v>0</v>
      </c>
      <c r="I60" s="14">
        <v>0</v>
      </c>
      <c r="J60" s="14">
        <v>0</v>
      </c>
      <c r="K60" s="76">
        <f t="shared" si="0"/>
        <v>82688435.36425667</v>
      </c>
      <c r="M60" s="36"/>
    </row>
    <row r="61" spans="1:13" ht="12.75">
      <c r="A61" s="3" t="s">
        <v>79</v>
      </c>
      <c r="B61" t="s">
        <v>77</v>
      </c>
      <c r="C61" s="59" t="s">
        <v>359</v>
      </c>
      <c r="D61" s="49">
        <v>60196672.49872695</v>
      </c>
      <c r="E61" s="1">
        <v>59224.06822693005</v>
      </c>
      <c r="F61" s="36">
        <v>169416.62999999998</v>
      </c>
      <c r="G61" s="36">
        <v>0</v>
      </c>
      <c r="H61" s="14">
        <v>39569.67</v>
      </c>
      <c r="I61" s="14">
        <v>0</v>
      </c>
      <c r="J61" s="14">
        <v>0</v>
      </c>
      <c r="K61" s="76">
        <f t="shared" si="0"/>
        <v>60464882.86695389</v>
      </c>
      <c r="M61" s="36"/>
    </row>
    <row r="62" spans="1:13" ht="12.75">
      <c r="A62" s="3" t="s">
        <v>80</v>
      </c>
      <c r="B62" t="s">
        <v>77</v>
      </c>
      <c r="C62" s="59" t="s">
        <v>360</v>
      </c>
      <c r="D62" s="49">
        <v>56824709.720287055</v>
      </c>
      <c r="E62" s="1">
        <v>50475.07663366255</v>
      </c>
      <c r="F62" s="36">
        <v>0</v>
      </c>
      <c r="G62" s="36">
        <v>0</v>
      </c>
      <c r="H62" s="14">
        <v>0</v>
      </c>
      <c r="I62" s="14">
        <v>0</v>
      </c>
      <c r="J62" s="14">
        <v>0</v>
      </c>
      <c r="K62" s="76">
        <f t="shared" si="0"/>
        <v>56875184.79692072</v>
      </c>
      <c r="M62" s="36"/>
    </row>
    <row r="63" spans="1:13" ht="12.75">
      <c r="A63" s="3" t="s">
        <v>81</v>
      </c>
      <c r="B63" t="s">
        <v>77</v>
      </c>
      <c r="C63" s="59" t="s">
        <v>361</v>
      </c>
      <c r="D63" s="49">
        <v>144510288.54528007</v>
      </c>
      <c r="E63" s="1">
        <v>162066.99999999997</v>
      </c>
      <c r="F63" s="36">
        <v>0</v>
      </c>
      <c r="G63" s="36">
        <v>0</v>
      </c>
      <c r="H63" s="14">
        <v>0</v>
      </c>
      <c r="I63" s="14">
        <v>0</v>
      </c>
      <c r="J63" s="14">
        <v>0</v>
      </c>
      <c r="K63" s="76">
        <f t="shared" si="0"/>
        <v>144672355.54528007</v>
      </c>
      <c r="M63" s="36"/>
    </row>
    <row r="64" spans="1:13" ht="12.75">
      <c r="A64" s="3" t="s">
        <v>82</v>
      </c>
      <c r="B64" t="s">
        <v>77</v>
      </c>
      <c r="C64" s="59" t="s">
        <v>362</v>
      </c>
      <c r="D64" s="49">
        <v>25340749.90001838</v>
      </c>
      <c r="E64" s="1">
        <v>32528.386233662568</v>
      </c>
      <c r="F64" s="36">
        <v>1449792.1199999999</v>
      </c>
      <c r="G64" s="36">
        <v>0</v>
      </c>
      <c r="H64" s="14">
        <v>0</v>
      </c>
      <c r="I64" s="14">
        <v>0</v>
      </c>
      <c r="J64" s="14">
        <v>0</v>
      </c>
      <c r="K64" s="76">
        <f t="shared" si="0"/>
        <v>26823070.40625204</v>
      </c>
      <c r="M64" s="36"/>
    </row>
    <row r="65" spans="1:13" ht="12.75">
      <c r="A65" s="3" t="s">
        <v>83</v>
      </c>
      <c r="B65" t="s">
        <v>77</v>
      </c>
      <c r="C65" s="59" t="s">
        <v>363</v>
      </c>
      <c r="D65" s="49">
        <v>8806200.797920648</v>
      </c>
      <c r="E65" s="1">
        <v>0</v>
      </c>
      <c r="F65" s="36">
        <v>0</v>
      </c>
      <c r="G65" s="36">
        <v>0</v>
      </c>
      <c r="H65" s="14">
        <v>11787.77</v>
      </c>
      <c r="I65" s="14">
        <v>0</v>
      </c>
      <c r="J65" s="14">
        <v>0</v>
      </c>
      <c r="K65" s="76">
        <f t="shared" si="0"/>
        <v>8817988.567920648</v>
      </c>
      <c r="M65" s="36"/>
    </row>
    <row r="66" spans="1:13" ht="12.75">
      <c r="A66" s="3" t="s">
        <v>84</v>
      </c>
      <c r="B66" t="s">
        <v>77</v>
      </c>
      <c r="C66" s="59" t="s">
        <v>364</v>
      </c>
      <c r="D66" s="49">
        <v>138251846.77126965</v>
      </c>
      <c r="E66" s="1">
        <v>167672.20000000004</v>
      </c>
      <c r="F66" s="36">
        <v>3514179.13</v>
      </c>
      <c r="G66" s="36">
        <v>0</v>
      </c>
      <c r="H66" s="14">
        <v>0</v>
      </c>
      <c r="I66" s="14">
        <v>0</v>
      </c>
      <c r="J66" s="14">
        <v>0</v>
      </c>
      <c r="K66" s="76">
        <f t="shared" si="0"/>
        <v>141933698.10126963</v>
      </c>
      <c r="M66" s="36"/>
    </row>
    <row r="67" spans="1:13" ht="12.75">
      <c r="A67" s="3" t="s">
        <v>85</v>
      </c>
      <c r="B67" t="s">
        <v>77</v>
      </c>
      <c r="C67" s="59" t="s">
        <v>365</v>
      </c>
      <c r="D67" s="49">
        <v>7827652.031672719</v>
      </c>
      <c r="E67" s="1">
        <v>6729.999132674876</v>
      </c>
      <c r="F67" s="36">
        <v>0</v>
      </c>
      <c r="G67" s="36">
        <v>0</v>
      </c>
      <c r="H67" s="14">
        <v>0</v>
      </c>
      <c r="I67" s="14">
        <v>0</v>
      </c>
      <c r="J67" s="14">
        <v>0</v>
      </c>
      <c r="K67" s="76">
        <f t="shared" si="0"/>
        <v>7834382.030805394</v>
      </c>
      <c r="M67" s="36"/>
    </row>
    <row r="68" spans="1:13" ht="12.75">
      <c r="A68" s="3" t="s">
        <v>86</v>
      </c>
      <c r="B68" t="s">
        <v>77</v>
      </c>
      <c r="C68" s="59" t="s">
        <v>366</v>
      </c>
      <c r="D68" s="49">
        <v>4299710.890226858</v>
      </c>
      <c r="E68" s="1">
        <v>0</v>
      </c>
      <c r="F68" s="36">
        <v>0</v>
      </c>
      <c r="G68" s="36">
        <v>0</v>
      </c>
      <c r="H68" s="14">
        <v>0</v>
      </c>
      <c r="I68" s="14">
        <v>0</v>
      </c>
      <c r="J68" s="14">
        <v>0</v>
      </c>
      <c r="K68" s="76">
        <f t="shared" si="0"/>
        <v>4299710.890226858</v>
      </c>
      <c r="M68" s="36"/>
    </row>
    <row r="69" spans="1:13" ht="12.75">
      <c r="A69" s="3" t="s">
        <v>87</v>
      </c>
      <c r="B69" t="s">
        <v>77</v>
      </c>
      <c r="C69" s="59" t="s">
        <v>367</v>
      </c>
      <c r="D69" s="49">
        <v>2675064.370517588</v>
      </c>
      <c r="E69" s="1">
        <v>0</v>
      </c>
      <c r="F69" s="36">
        <v>0</v>
      </c>
      <c r="G69" s="36">
        <v>0</v>
      </c>
      <c r="H69" s="14">
        <v>0</v>
      </c>
      <c r="I69" s="14">
        <v>0</v>
      </c>
      <c r="J69" s="14">
        <v>0</v>
      </c>
      <c r="K69" s="76">
        <f t="shared" si="0"/>
        <v>2675064.370517588</v>
      </c>
      <c r="M69" s="36"/>
    </row>
    <row r="70" spans="1:13" ht="12.75">
      <c r="A70" s="3" t="s">
        <v>88</v>
      </c>
      <c r="B70" t="s">
        <v>77</v>
      </c>
      <c r="C70" s="59" t="s">
        <v>368</v>
      </c>
      <c r="D70" s="49">
        <v>35541751.58313855</v>
      </c>
      <c r="E70" s="1">
        <v>0</v>
      </c>
      <c r="F70" s="36">
        <v>942891.6000000001</v>
      </c>
      <c r="G70" s="36">
        <v>0</v>
      </c>
      <c r="H70" s="14">
        <v>0</v>
      </c>
      <c r="I70" s="14">
        <v>0</v>
      </c>
      <c r="J70" s="14">
        <v>0</v>
      </c>
      <c r="K70" s="76">
        <f t="shared" si="0"/>
        <v>36484643.18313855</v>
      </c>
      <c r="M70" s="36"/>
    </row>
    <row r="71" spans="1:13" ht="12.75">
      <c r="A71" s="3" t="s">
        <v>89</v>
      </c>
      <c r="B71" t="s">
        <v>77</v>
      </c>
      <c r="C71" s="59" t="s">
        <v>369</v>
      </c>
      <c r="D71" s="49">
        <v>155612927.31955558</v>
      </c>
      <c r="E71" s="1">
        <v>0</v>
      </c>
      <c r="F71" s="36">
        <v>3413610.3600000003</v>
      </c>
      <c r="G71" s="36">
        <v>0</v>
      </c>
      <c r="H71" s="14">
        <v>0</v>
      </c>
      <c r="I71" s="14">
        <v>0</v>
      </c>
      <c r="J71" s="14">
        <v>0</v>
      </c>
      <c r="K71" s="76">
        <f t="shared" si="0"/>
        <v>159026537.6795556</v>
      </c>
      <c r="M71" s="36"/>
    </row>
    <row r="72" spans="1:13" ht="12.75">
      <c r="A72" s="3" t="s">
        <v>90</v>
      </c>
      <c r="B72" t="s">
        <v>77</v>
      </c>
      <c r="C72" s="59" t="s">
        <v>370</v>
      </c>
      <c r="D72" s="49">
        <v>2473151.7791408347</v>
      </c>
      <c r="E72" s="1">
        <v>0</v>
      </c>
      <c r="F72" s="36">
        <v>0</v>
      </c>
      <c r="G72" s="36">
        <v>0</v>
      </c>
      <c r="H72" s="14">
        <v>0</v>
      </c>
      <c r="I72" s="14">
        <v>0</v>
      </c>
      <c r="J72" s="14">
        <v>0</v>
      </c>
      <c r="K72" s="76">
        <f t="shared" si="0"/>
        <v>2473151.7791408347</v>
      </c>
      <c r="M72" s="36"/>
    </row>
    <row r="73" spans="1:13" ht="12.75">
      <c r="A73" s="3" t="s">
        <v>91</v>
      </c>
      <c r="B73" t="s">
        <v>77</v>
      </c>
      <c r="C73" s="59" t="s">
        <v>371</v>
      </c>
      <c r="D73" s="49">
        <v>2661333.7410718217</v>
      </c>
      <c r="E73" s="1">
        <v>0</v>
      </c>
      <c r="F73" s="36">
        <v>0</v>
      </c>
      <c r="G73" s="36">
        <v>0</v>
      </c>
      <c r="H73" s="14">
        <v>0</v>
      </c>
      <c r="I73" s="14">
        <v>0</v>
      </c>
      <c r="J73" s="14">
        <v>0</v>
      </c>
      <c r="K73" s="76">
        <f t="shared" si="0"/>
        <v>2661333.7410718217</v>
      </c>
      <c r="M73" s="36"/>
    </row>
    <row r="74" spans="1:13" ht="12.75">
      <c r="A74" s="3" t="s">
        <v>92</v>
      </c>
      <c r="B74" t="s">
        <v>93</v>
      </c>
      <c r="C74" s="59" t="s">
        <v>372</v>
      </c>
      <c r="D74" s="49">
        <v>20663032.69928164</v>
      </c>
      <c r="E74" s="1">
        <v>0</v>
      </c>
      <c r="F74" s="36">
        <v>0</v>
      </c>
      <c r="G74" s="36">
        <v>0</v>
      </c>
      <c r="H74" s="14">
        <v>73747.77</v>
      </c>
      <c r="I74" s="14">
        <v>0</v>
      </c>
      <c r="J74" s="14">
        <v>0</v>
      </c>
      <c r="K74" s="76">
        <f t="shared" si="0"/>
        <v>20736780.46928164</v>
      </c>
      <c r="M74" s="36"/>
    </row>
    <row r="75" spans="1:13" ht="12.75">
      <c r="A75" s="3" t="s">
        <v>94</v>
      </c>
      <c r="B75" t="s">
        <v>93</v>
      </c>
      <c r="C75" s="59" t="s">
        <v>373</v>
      </c>
      <c r="D75" s="49">
        <v>8219264.502573732</v>
      </c>
      <c r="E75" s="1">
        <v>0</v>
      </c>
      <c r="F75" s="36">
        <v>0</v>
      </c>
      <c r="G75" s="36">
        <v>0</v>
      </c>
      <c r="H75" s="14">
        <v>0</v>
      </c>
      <c r="I75" s="14">
        <v>0</v>
      </c>
      <c r="J75" s="14">
        <v>0</v>
      </c>
      <c r="K75" s="76">
        <f t="shared" si="0"/>
        <v>8219264.502573732</v>
      </c>
      <c r="M75" s="36"/>
    </row>
    <row r="76" spans="1:13" ht="12.75">
      <c r="A76" s="3" t="s">
        <v>95</v>
      </c>
      <c r="B76" t="s">
        <v>93</v>
      </c>
      <c r="C76" s="59" t="s">
        <v>374</v>
      </c>
      <c r="D76" s="49">
        <v>1151442.5920967893</v>
      </c>
      <c r="E76" s="1">
        <v>0</v>
      </c>
      <c r="F76" s="36">
        <v>0</v>
      </c>
      <c r="G76" s="36">
        <v>0</v>
      </c>
      <c r="H76" s="14">
        <v>0</v>
      </c>
      <c r="I76" s="14">
        <v>0</v>
      </c>
      <c r="J76" s="14">
        <v>0</v>
      </c>
      <c r="K76" s="76">
        <f aca="true" t="shared" si="1" ref="K76:K139">SUM(D76:J76)</f>
        <v>1151442.5920967893</v>
      </c>
      <c r="M76" s="36"/>
    </row>
    <row r="77" spans="1:13" ht="12.75">
      <c r="A77" s="3" t="s">
        <v>96</v>
      </c>
      <c r="B77" t="s">
        <v>97</v>
      </c>
      <c r="C77" s="59" t="s">
        <v>375</v>
      </c>
      <c r="D77" s="49">
        <v>21638258.854431268</v>
      </c>
      <c r="E77" s="1">
        <v>0</v>
      </c>
      <c r="F77" s="36">
        <v>0</v>
      </c>
      <c r="G77" s="36">
        <v>0</v>
      </c>
      <c r="H77" s="14">
        <v>0</v>
      </c>
      <c r="I77" s="14">
        <v>0</v>
      </c>
      <c r="J77" s="14">
        <v>0</v>
      </c>
      <c r="K77" s="76">
        <f t="shared" si="1"/>
        <v>21638258.854431268</v>
      </c>
      <c r="M77" s="36"/>
    </row>
    <row r="78" spans="1:13" ht="12.75">
      <c r="A78" s="3" t="s">
        <v>98</v>
      </c>
      <c r="B78" t="s">
        <v>97</v>
      </c>
      <c r="C78" s="59" t="s">
        <v>376</v>
      </c>
      <c r="D78" s="49">
        <v>33224213.254923526</v>
      </c>
      <c r="E78" s="1">
        <v>0</v>
      </c>
      <c r="F78" s="36">
        <v>0</v>
      </c>
      <c r="G78" s="36">
        <v>0</v>
      </c>
      <c r="H78" s="14">
        <v>0</v>
      </c>
      <c r="I78" s="14">
        <v>0</v>
      </c>
      <c r="J78" s="14">
        <v>0</v>
      </c>
      <c r="K78" s="76">
        <f t="shared" si="1"/>
        <v>33224213.254923526</v>
      </c>
      <c r="M78" s="36"/>
    </row>
    <row r="79" spans="1:13" ht="12.75">
      <c r="A79" s="3" t="s">
        <v>99</v>
      </c>
      <c r="B79" t="s">
        <v>97</v>
      </c>
      <c r="C79" s="59" t="s">
        <v>377</v>
      </c>
      <c r="D79" s="49">
        <v>8287035.385702736</v>
      </c>
      <c r="E79" s="1">
        <v>0</v>
      </c>
      <c r="F79" s="36">
        <v>0</v>
      </c>
      <c r="G79" s="36">
        <v>0</v>
      </c>
      <c r="H79" s="14">
        <v>0</v>
      </c>
      <c r="I79" s="14">
        <v>0</v>
      </c>
      <c r="J79" s="14">
        <v>0</v>
      </c>
      <c r="K79" s="76">
        <f t="shared" si="1"/>
        <v>8287035.385702736</v>
      </c>
      <c r="M79" s="36"/>
    </row>
    <row r="80" spans="1:13" ht="12.75">
      <c r="A80" s="3" t="s">
        <v>100</v>
      </c>
      <c r="B80" t="s">
        <v>101</v>
      </c>
      <c r="C80" s="59" t="s">
        <v>378</v>
      </c>
      <c r="D80" s="49">
        <v>2847979.4750548303</v>
      </c>
      <c r="E80" s="1">
        <v>0</v>
      </c>
      <c r="F80" s="36">
        <v>0</v>
      </c>
      <c r="G80" s="36">
        <v>0</v>
      </c>
      <c r="H80" s="14">
        <v>0</v>
      </c>
      <c r="I80" s="14">
        <v>0</v>
      </c>
      <c r="J80" s="14">
        <v>0</v>
      </c>
      <c r="K80" s="76">
        <f t="shared" si="1"/>
        <v>2847979.4750548303</v>
      </c>
      <c r="M80" s="36"/>
    </row>
    <row r="81" spans="1:13" ht="12.75">
      <c r="A81" s="3" t="s">
        <v>102</v>
      </c>
      <c r="B81" t="s">
        <v>103</v>
      </c>
      <c r="C81" s="59" t="s">
        <v>379</v>
      </c>
      <c r="D81" s="49">
        <v>2389461.164979886</v>
      </c>
      <c r="E81" s="1">
        <v>0</v>
      </c>
      <c r="F81" s="36">
        <v>0</v>
      </c>
      <c r="G81" s="36">
        <v>0</v>
      </c>
      <c r="H81" s="14">
        <v>0</v>
      </c>
      <c r="I81" s="14">
        <v>0</v>
      </c>
      <c r="J81" s="14">
        <v>0</v>
      </c>
      <c r="K81" s="76">
        <f t="shared" si="1"/>
        <v>2389461.164979886</v>
      </c>
      <c r="M81" s="36"/>
    </row>
    <row r="82" spans="1:13" ht="12.75">
      <c r="A82" s="3" t="s">
        <v>104</v>
      </c>
      <c r="B82" t="s">
        <v>103</v>
      </c>
      <c r="C82" s="59" t="s">
        <v>380</v>
      </c>
      <c r="D82" s="49">
        <v>3473507.519151691</v>
      </c>
      <c r="E82" s="1">
        <v>0</v>
      </c>
      <c r="F82" s="36">
        <v>0</v>
      </c>
      <c r="G82" s="36">
        <v>0</v>
      </c>
      <c r="H82" s="14">
        <v>0</v>
      </c>
      <c r="I82" s="14">
        <v>0</v>
      </c>
      <c r="J82" s="14">
        <v>0</v>
      </c>
      <c r="K82" s="76">
        <f t="shared" si="1"/>
        <v>3473507.519151691</v>
      </c>
      <c r="M82" s="36"/>
    </row>
    <row r="83" spans="1:13" ht="12.75">
      <c r="A83" s="3" t="s">
        <v>105</v>
      </c>
      <c r="B83" t="s">
        <v>106</v>
      </c>
      <c r="C83" s="59" t="s">
        <v>381</v>
      </c>
      <c r="D83" s="49">
        <v>6940037.802471754</v>
      </c>
      <c r="E83" s="1">
        <v>0</v>
      </c>
      <c r="F83" s="36">
        <v>0</v>
      </c>
      <c r="G83" s="36">
        <v>0</v>
      </c>
      <c r="H83" s="14">
        <v>0</v>
      </c>
      <c r="I83" s="14">
        <v>0</v>
      </c>
      <c r="J83" s="14">
        <v>0</v>
      </c>
      <c r="K83" s="76">
        <f t="shared" si="1"/>
        <v>6940037.802471754</v>
      </c>
      <c r="M83" s="36"/>
    </row>
    <row r="84" spans="1:13" ht="12.75">
      <c r="A84" s="3" t="s">
        <v>107</v>
      </c>
      <c r="B84" t="s">
        <v>108</v>
      </c>
      <c r="C84" s="59" t="s">
        <v>382</v>
      </c>
      <c r="D84" s="49">
        <v>397484.0377167309</v>
      </c>
      <c r="E84" s="1">
        <v>0</v>
      </c>
      <c r="F84" s="36">
        <v>0</v>
      </c>
      <c r="G84" s="36">
        <v>0</v>
      </c>
      <c r="H84" s="14">
        <v>0</v>
      </c>
      <c r="I84" s="14">
        <v>0</v>
      </c>
      <c r="J84" s="14">
        <v>0</v>
      </c>
      <c r="K84" s="76">
        <f t="shared" si="1"/>
        <v>397484.0377167309</v>
      </c>
      <c r="M84" s="36"/>
    </row>
    <row r="85" spans="1:13" ht="12.75">
      <c r="A85" s="3" t="s">
        <v>109</v>
      </c>
      <c r="B85" t="s">
        <v>110</v>
      </c>
      <c r="C85" s="59" t="s">
        <v>383</v>
      </c>
      <c r="D85" s="49">
        <v>2176492.690815432</v>
      </c>
      <c r="E85" s="1">
        <v>0</v>
      </c>
      <c r="F85" s="36">
        <v>0</v>
      </c>
      <c r="G85" s="36">
        <v>0</v>
      </c>
      <c r="H85" s="14">
        <v>0</v>
      </c>
      <c r="I85" s="14">
        <v>0</v>
      </c>
      <c r="J85" s="14">
        <v>0</v>
      </c>
      <c r="K85" s="76">
        <f t="shared" si="1"/>
        <v>2176492.690815432</v>
      </c>
      <c r="M85" s="36"/>
    </row>
    <row r="86" spans="1:13" ht="12.75">
      <c r="A86" s="3" t="s">
        <v>111</v>
      </c>
      <c r="B86" t="s">
        <v>110</v>
      </c>
      <c r="C86" s="59" t="s">
        <v>384</v>
      </c>
      <c r="D86" s="49">
        <v>1650041.7286212372</v>
      </c>
      <c r="E86" s="1">
        <v>0</v>
      </c>
      <c r="F86" s="36">
        <v>0</v>
      </c>
      <c r="G86" s="36">
        <v>0</v>
      </c>
      <c r="H86" s="14">
        <v>0</v>
      </c>
      <c r="I86" s="14">
        <v>0</v>
      </c>
      <c r="J86" s="14">
        <v>0</v>
      </c>
      <c r="K86" s="76">
        <f t="shared" si="1"/>
        <v>1650041.7286212372</v>
      </c>
      <c r="M86" s="36"/>
    </row>
    <row r="87" spans="1:13" ht="12.75">
      <c r="A87" s="3" t="s">
        <v>112</v>
      </c>
      <c r="B87" t="s">
        <v>113</v>
      </c>
      <c r="C87" s="59" t="s">
        <v>385</v>
      </c>
      <c r="D87" s="49">
        <v>720938.2545146636</v>
      </c>
      <c r="E87" s="1">
        <v>0</v>
      </c>
      <c r="F87" s="36">
        <v>0</v>
      </c>
      <c r="G87" s="36">
        <v>0</v>
      </c>
      <c r="H87" s="14">
        <v>0</v>
      </c>
      <c r="I87" s="14">
        <v>0</v>
      </c>
      <c r="J87" s="14">
        <v>0</v>
      </c>
      <c r="K87" s="76">
        <f t="shared" si="1"/>
        <v>720938.2545146636</v>
      </c>
      <c r="M87" s="36"/>
    </row>
    <row r="88" spans="1:13" ht="12.75">
      <c r="A88" s="3" t="s">
        <v>114</v>
      </c>
      <c r="B88" t="s">
        <v>115</v>
      </c>
      <c r="C88" s="59" t="s">
        <v>386</v>
      </c>
      <c r="D88" s="49">
        <v>361721843.31133026</v>
      </c>
      <c r="E88" s="1">
        <v>345874</v>
      </c>
      <c r="F88" s="36">
        <v>6101634.24</v>
      </c>
      <c r="G88" s="36">
        <v>0</v>
      </c>
      <c r="H88" s="14">
        <v>0</v>
      </c>
      <c r="I88" s="14">
        <v>0</v>
      </c>
      <c r="J88" s="14">
        <v>0</v>
      </c>
      <c r="K88" s="76">
        <f t="shared" si="1"/>
        <v>368169351.55133027</v>
      </c>
      <c r="M88" s="36"/>
    </row>
    <row r="89" spans="1:13" ht="12.75">
      <c r="A89" s="3" t="s">
        <v>116</v>
      </c>
      <c r="B89" t="s">
        <v>72</v>
      </c>
      <c r="C89" s="59" t="s">
        <v>387</v>
      </c>
      <c r="D89" s="49">
        <v>1721290.792056249</v>
      </c>
      <c r="E89" s="1">
        <v>0</v>
      </c>
      <c r="F89" s="36">
        <v>0</v>
      </c>
      <c r="G89" s="36">
        <v>0</v>
      </c>
      <c r="H89" s="14">
        <v>0</v>
      </c>
      <c r="I89" s="14">
        <v>0</v>
      </c>
      <c r="J89" s="14">
        <v>0</v>
      </c>
      <c r="K89" s="76">
        <f t="shared" si="1"/>
        <v>1721290.792056249</v>
      </c>
      <c r="M89" s="36"/>
    </row>
    <row r="90" spans="1:13" ht="12.75">
      <c r="A90" s="3" t="s">
        <v>117</v>
      </c>
      <c r="B90" t="s">
        <v>72</v>
      </c>
      <c r="C90" s="59" t="s">
        <v>388</v>
      </c>
      <c r="D90" s="49">
        <v>513296.35667139967</v>
      </c>
      <c r="E90" s="1">
        <v>0</v>
      </c>
      <c r="F90" s="36">
        <v>0</v>
      </c>
      <c r="G90" s="36">
        <v>0</v>
      </c>
      <c r="H90" s="14">
        <v>0</v>
      </c>
      <c r="I90" s="14">
        <v>0</v>
      </c>
      <c r="J90" s="14">
        <v>0</v>
      </c>
      <c r="K90" s="76">
        <f t="shared" si="1"/>
        <v>513296.35667139967</v>
      </c>
      <c r="M90" s="36"/>
    </row>
    <row r="91" spans="1:13" ht="12.75">
      <c r="A91" s="3" t="s">
        <v>118</v>
      </c>
      <c r="B91" t="s">
        <v>44</v>
      </c>
      <c r="C91" s="59" t="s">
        <v>389</v>
      </c>
      <c r="D91" s="49">
        <v>1245200.9805568508</v>
      </c>
      <c r="E91" s="1">
        <v>0</v>
      </c>
      <c r="F91" s="36">
        <v>0</v>
      </c>
      <c r="G91" s="36">
        <v>0</v>
      </c>
      <c r="H91" s="14">
        <v>5073.359999999998</v>
      </c>
      <c r="I91" s="14">
        <v>0</v>
      </c>
      <c r="J91" s="14">
        <v>0</v>
      </c>
      <c r="K91" s="76">
        <f t="shared" si="1"/>
        <v>1250274.340556851</v>
      </c>
      <c r="M91" s="36"/>
    </row>
    <row r="92" spans="1:13" ht="12.75">
      <c r="A92" s="3" t="s">
        <v>119</v>
      </c>
      <c r="B92" t="s">
        <v>44</v>
      </c>
      <c r="C92" s="59" t="s">
        <v>390</v>
      </c>
      <c r="D92" s="49">
        <v>929718.116215779</v>
      </c>
      <c r="E92" s="1">
        <v>0</v>
      </c>
      <c r="F92" s="36">
        <v>0</v>
      </c>
      <c r="G92" s="36">
        <v>0</v>
      </c>
      <c r="H92" s="14">
        <v>0</v>
      </c>
      <c r="I92" s="14">
        <v>0</v>
      </c>
      <c r="J92" s="14">
        <v>0</v>
      </c>
      <c r="K92" s="76">
        <f t="shared" si="1"/>
        <v>929718.116215779</v>
      </c>
      <c r="M92" s="36"/>
    </row>
    <row r="93" spans="1:13" ht="12.75">
      <c r="A93" s="3" t="s">
        <v>120</v>
      </c>
      <c r="B93" t="s">
        <v>44</v>
      </c>
      <c r="C93" s="59" t="s">
        <v>391</v>
      </c>
      <c r="D93" s="49">
        <v>1926673.0186762558</v>
      </c>
      <c r="E93" s="1">
        <v>0</v>
      </c>
      <c r="F93" s="36">
        <v>0</v>
      </c>
      <c r="G93" s="36">
        <v>0</v>
      </c>
      <c r="H93" s="14">
        <v>6317.52</v>
      </c>
      <c r="I93" s="14">
        <v>0</v>
      </c>
      <c r="J93" s="14">
        <v>0</v>
      </c>
      <c r="K93" s="76">
        <f t="shared" si="1"/>
        <v>1932990.5386762558</v>
      </c>
      <c r="M93" s="36"/>
    </row>
    <row r="94" spans="1:13" ht="12.75">
      <c r="A94" s="3" t="s">
        <v>121</v>
      </c>
      <c r="B94" t="s">
        <v>44</v>
      </c>
      <c r="C94" s="59" t="s">
        <v>392</v>
      </c>
      <c r="D94" s="49">
        <v>1144951.816570098</v>
      </c>
      <c r="E94" s="1">
        <v>0</v>
      </c>
      <c r="F94" s="36">
        <v>0</v>
      </c>
      <c r="G94" s="36">
        <v>0</v>
      </c>
      <c r="H94" s="14">
        <v>30145.5</v>
      </c>
      <c r="I94" s="14">
        <v>0</v>
      </c>
      <c r="J94" s="14">
        <v>0</v>
      </c>
      <c r="K94" s="76">
        <f t="shared" si="1"/>
        <v>1175097.316570098</v>
      </c>
      <c r="M94" s="36"/>
    </row>
    <row r="95" spans="1:13" ht="12.75">
      <c r="A95" s="3" t="s">
        <v>122</v>
      </c>
      <c r="B95" t="s">
        <v>44</v>
      </c>
      <c r="C95" s="59" t="s">
        <v>393</v>
      </c>
      <c r="D95" s="49">
        <v>3322519.6493247417</v>
      </c>
      <c r="E95" s="1">
        <v>0</v>
      </c>
      <c r="F95" s="36">
        <v>0</v>
      </c>
      <c r="G95" s="36">
        <v>0</v>
      </c>
      <c r="H95" s="14">
        <v>0</v>
      </c>
      <c r="I95" s="14">
        <v>0</v>
      </c>
      <c r="J95" s="14">
        <v>0</v>
      </c>
      <c r="K95" s="76">
        <f t="shared" si="1"/>
        <v>3322519.6493247417</v>
      </c>
      <c r="M95" s="36"/>
    </row>
    <row r="96" spans="1:13" ht="12.75">
      <c r="A96" s="3" t="s">
        <v>123</v>
      </c>
      <c r="B96" t="s">
        <v>124</v>
      </c>
      <c r="C96" s="59" t="s">
        <v>394</v>
      </c>
      <c r="D96" s="49">
        <v>3414543.5955784186</v>
      </c>
      <c r="E96" s="1">
        <v>0</v>
      </c>
      <c r="F96" s="36">
        <v>0</v>
      </c>
      <c r="G96" s="36">
        <v>0</v>
      </c>
      <c r="H96" s="14">
        <v>0</v>
      </c>
      <c r="I96" s="14">
        <v>0</v>
      </c>
      <c r="J96" s="14">
        <v>0</v>
      </c>
      <c r="K96" s="76">
        <f t="shared" si="1"/>
        <v>3414543.5955784186</v>
      </c>
      <c r="M96" s="36"/>
    </row>
    <row r="97" spans="1:13" ht="12.75">
      <c r="A97" s="3" t="s">
        <v>125</v>
      </c>
      <c r="B97" t="s">
        <v>126</v>
      </c>
      <c r="C97" s="59" t="s">
        <v>395</v>
      </c>
      <c r="D97" s="49">
        <v>31118491.147818007</v>
      </c>
      <c r="E97" s="1">
        <v>0</v>
      </c>
      <c r="F97" s="36">
        <v>0</v>
      </c>
      <c r="G97" s="36">
        <v>0</v>
      </c>
      <c r="H97" s="14">
        <v>0</v>
      </c>
      <c r="I97" s="14">
        <v>0</v>
      </c>
      <c r="J97" s="14">
        <v>0</v>
      </c>
      <c r="K97" s="76">
        <f t="shared" si="1"/>
        <v>31118491.147818007</v>
      </c>
      <c r="M97" s="36"/>
    </row>
    <row r="98" spans="1:13" ht="12.75">
      <c r="A98" s="3" t="s">
        <v>127</v>
      </c>
      <c r="B98" t="s">
        <v>126</v>
      </c>
      <c r="C98" s="59" t="s">
        <v>396</v>
      </c>
      <c r="D98" s="49">
        <v>9354648.270895101</v>
      </c>
      <c r="E98" s="1">
        <v>0</v>
      </c>
      <c r="F98" s="36">
        <v>0</v>
      </c>
      <c r="G98" s="36">
        <v>0</v>
      </c>
      <c r="H98" s="14">
        <v>0</v>
      </c>
      <c r="I98" s="14">
        <v>0</v>
      </c>
      <c r="J98" s="14">
        <v>0</v>
      </c>
      <c r="K98" s="76">
        <f t="shared" si="1"/>
        <v>9354648.270895101</v>
      </c>
      <c r="M98" s="36"/>
    </row>
    <row r="99" spans="1:13" ht="12.75">
      <c r="A99" s="3" t="s">
        <v>128</v>
      </c>
      <c r="B99" t="s">
        <v>126</v>
      </c>
      <c r="C99" s="59" t="s">
        <v>397</v>
      </c>
      <c r="D99" s="49">
        <v>6977256.70239052</v>
      </c>
      <c r="E99" s="1">
        <v>0</v>
      </c>
      <c r="F99" s="36">
        <v>0</v>
      </c>
      <c r="G99" s="36">
        <v>0</v>
      </c>
      <c r="H99" s="14">
        <v>0</v>
      </c>
      <c r="I99" s="14">
        <v>0</v>
      </c>
      <c r="J99" s="14">
        <v>0</v>
      </c>
      <c r="K99" s="76">
        <f t="shared" si="1"/>
        <v>6977256.70239052</v>
      </c>
      <c r="M99" s="36"/>
    </row>
    <row r="100" spans="1:13" ht="12.75">
      <c r="A100" s="3" t="s">
        <v>129</v>
      </c>
      <c r="B100" t="s">
        <v>130</v>
      </c>
      <c r="C100" s="59" t="s">
        <v>398</v>
      </c>
      <c r="D100" s="49">
        <v>123567050.58283366</v>
      </c>
      <c r="E100" s="1">
        <v>231987</v>
      </c>
      <c r="F100" s="36">
        <v>1741977.6</v>
      </c>
      <c r="G100" s="36">
        <v>0</v>
      </c>
      <c r="H100" s="14">
        <v>0</v>
      </c>
      <c r="I100" s="14">
        <v>0</v>
      </c>
      <c r="J100" s="14">
        <v>0</v>
      </c>
      <c r="K100" s="76">
        <f t="shared" si="1"/>
        <v>125541015.18283366</v>
      </c>
      <c r="M100" s="36"/>
    </row>
    <row r="101" spans="1:13" ht="12.75">
      <c r="A101" s="3" t="s">
        <v>131</v>
      </c>
      <c r="B101" t="s">
        <v>130</v>
      </c>
      <c r="C101" s="59" t="s">
        <v>399</v>
      </c>
      <c r="D101" s="49">
        <v>66718406.66880915</v>
      </c>
      <c r="E101" s="1">
        <v>113574.77999999998</v>
      </c>
      <c r="F101" s="36">
        <v>1850500.0000000002</v>
      </c>
      <c r="G101" s="36">
        <v>0</v>
      </c>
      <c r="H101" s="14">
        <v>0</v>
      </c>
      <c r="I101" s="14">
        <v>0</v>
      </c>
      <c r="J101" s="14">
        <v>0</v>
      </c>
      <c r="K101" s="76">
        <f t="shared" si="1"/>
        <v>68682481.44880916</v>
      </c>
      <c r="M101" s="36"/>
    </row>
    <row r="102" spans="1:13" ht="12.75">
      <c r="A102" s="3" t="s">
        <v>132</v>
      </c>
      <c r="B102" t="s">
        <v>130</v>
      </c>
      <c r="C102" s="59" t="s">
        <v>400</v>
      </c>
      <c r="D102" s="49">
        <v>317843.4494538236</v>
      </c>
      <c r="E102" s="1">
        <v>0</v>
      </c>
      <c r="F102" s="36">
        <v>0</v>
      </c>
      <c r="G102" s="36">
        <v>0</v>
      </c>
      <c r="H102" s="14">
        <v>0</v>
      </c>
      <c r="I102" s="14">
        <v>0</v>
      </c>
      <c r="J102" s="14">
        <v>0</v>
      </c>
      <c r="K102" s="76">
        <f t="shared" si="1"/>
        <v>317843.4494538236</v>
      </c>
      <c r="M102" s="36"/>
    </row>
    <row r="103" spans="1:13" ht="12.75">
      <c r="A103" s="3" t="s">
        <v>133</v>
      </c>
      <c r="B103" t="s">
        <v>34</v>
      </c>
      <c r="C103" s="59" t="s">
        <v>401</v>
      </c>
      <c r="D103" s="49">
        <v>7106615.487904809</v>
      </c>
      <c r="E103" s="1">
        <v>0</v>
      </c>
      <c r="F103" s="36">
        <v>0</v>
      </c>
      <c r="G103" s="36">
        <v>0</v>
      </c>
      <c r="H103" s="14">
        <v>0</v>
      </c>
      <c r="I103" s="14">
        <v>0</v>
      </c>
      <c r="J103" s="14">
        <v>0</v>
      </c>
      <c r="K103" s="76">
        <f t="shared" si="1"/>
        <v>7106615.487904809</v>
      </c>
      <c r="M103" s="36"/>
    </row>
    <row r="104" spans="1:13" ht="12.75">
      <c r="A104" s="3" t="s">
        <v>134</v>
      </c>
      <c r="B104" t="s">
        <v>34</v>
      </c>
      <c r="C104" s="59" t="s">
        <v>402</v>
      </c>
      <c r="D104" s="49">
        <v>2182615.321302764</v>
      </c>
      <c r="E104" s="1">
        <v>0</v>
      </c>
      <c r="F104" s="36">
        <v>0</v>
      </c>
      <c r="G104" s="36">
        <v>0</v>
      </c>
      <c r="H104" s="14">
        <v>0</v>
      </c>
      <c r="I104" s="14">
        <v>0</v>
      </c>
      <c r="J104" s="14">
        <v>0</v>
      </c>
      <c r="K104" s="76">
        <f t="shared" si="1"/>
        <v>2182615.321302764</v>
      </c>
      <c r="M104" s="36"/>
    </row>
    <row r="105" spans="1:13" ht="12.75">
      <c r="A105" s="3" t="s">
        <v>135</v>
      </c>
      <c r="B105" t="s">
        <v>34</v>
      </c>
      <c r="C105" s="59" t="s">
        <v>403</v>
      </c>
      <c r="D105" s="49">
        <v>2367135.1766707357</v>
      </c>
      <c r="E105" s="1">
        <v>0</v>
      </c>
      <c r="F105" s="36">
        <v>0</v>
      </c>
      <c r="G105" s="36">
        <v>0</v>
      </c>
      <c r="H105" s="14">
        <v>0</v>
      </c>
      <c r="I105" s="14">
        <v>0</v>
      </c>
      <c r="J105" s="14">
        <v>0</v>
      </c>
      <c r="K105" s="76">
        <f t="shared" si="1"/>
        <v>2367135.1766707357</v>
      </c>
      <c r="M105" s="36"/>
    </row>
    <row r="106" spans="1:13" ht="12.75">
      <c r="A106" s="3" t="s">
        <v>136</v>
      </c>
      <c r="B106" t="s">
        <v>34</v>
      </c>
      <c r="C106" s="59" t="s">
        <v>404</v>
      </c>
      <c r="D106" s="49">
        <v>1290527.283912142</v>
      </c>
      <c r="E106" s="1">
        <v>0</v>
      </c>
      <c r="F106" s="36">
        <v>0</v>
      </c>
      <c r="G106" s="36">
        <v>0</v>
      </c>
      <c r="H106" s="14">
        <v>0</v>
      </c>
      <c r="I106" s="14">
        <v>0</v>
      </c>
      <c r="J106" s="14">
        <v>0</v>
      </c>
      <c r="K106" s="76">
        <f t="shared" si="1"/>
        <v>1290527.283912142</v>
      </c>
      <c r="M106" s="36"/>
    </row>
    <row r="107" spans="1:13" ht="12.75">
      <c r="A107" s="3" t="s">
        <v>137</v>
      </c>
      <c r="B107" t="s">
        <v>34</v>
      </c>
      <c r="C107" s="59" t="s">
        <v>405</v>
      </c>
      <c r="D107" s="49">
        <v>3182221.9995970507</v>
      </c>
      <c r="E107" s="1">
        <v>0</v>
      </c>
      <c r="F107" s="36">
        <v>0</v>
      </c>
      <c r="G107" s="36">
        <v>0</v>
      </c>
      <c r="H107" s="14">
        <v>0</v>
      </c>
      <c r="I107" s="14">
        <v>0</v>
      </c>
      <c r="J107" s="14">
        <v>0</v>
      </c>
      <c r="K107" s="76">
        <f t="shared" si="1"/>
        <v>3182221.9995970507</v>
      </c>
      <c r="M107" s="36"/>
    </row>
    <row r="108" spans="1:13" ht="12.75">
      <c r="A108" s="3" t="s">
        <v>138</v>
      </c>
      <c r="B108" t="s">
        <v>34</v>
      </c>
      <c r="C108" s="59" t="s">
        <v>406</v>
      </c>
      <c r="D108" s="49">
        <v>575999.4044514254</v>
      </c>
      <c r="E108" s="1">
        <v>0</v>
      </c>
      <c r="F108" s="36">
        <v>0</v>
      </c>
      <c r="G108" s="36">
        <v>0</v>
      </c>
      <c r="H108" s="14">
        <v>0</v>
      </c>
      <c r="I108" s="14">
        <v>0</v>
      </c>
      <c r="J108" s="14">
        <v>0</v>
      </c>
      <c r="K108" s="76">
        <f t="shared" si="1"/>
        <v>575999.4044514254</v>
      </c>
      <c r="M108" s="36"/>
    </row>
    <row r="109" spans="1:13" ht="12.75">
      <c r="A109" s="3" t="s">
        <v>139</v>
      </c>
      <c r="B109" t="s">
        <v>140</v>
      </c>
      <c r="C109" s="59" t="s">
        <v>407</v>
      </c>
      <c r="D109" s="49">
        <v>1193565.928798604</v>
      </c>
      <c r="E109" s="1">
        <v>0</v>
      </c>
      <c r="F109" s="36">
        <v>0</v>
      </c>
      <c r="G109" s="36">
        <v>0</v>
      </c>
      <c r="H109" s="14">
        <v>0</v>
      </c>
      <c r="I109" s="14">
        <v>0</v>
      </c>
      <c r="J109" s="14">
        <v>0</v>
      </c>
      <c r="K109" s="76">
        <f t="shared" si="1"/>
        <v>1193565.928798604</v>
      </c>
      <c r="M109" s="36"/>
    </row>
    <row r="110" spans="1:13" ht="12.75">
      <c r="A110" s="3" t="s">
        <v>141</v>
      </c>
      <c r="B110" t="s">
        <v>140</v>
      </c>
      <c r="C110" s="59" t="s">
        <v>408</v>
      </c>
      <c r="D110" s="49">
        <v>2575365.6224336163</v>
      </c>
      <c r="E110" s="1">
        <v>0</v>
      </c>
      <c r="F110" s="36">
        <v>0</v>
      </c>
      <c r="G110" s="36">
        <v>0</v>
      </c>
      <c r="H110" s="14">
        <v>0</v>
      </c>
      <c r="I110" s="14">
        <v>0</v>
      </c>
      <c r="J110" s="14">
        <v>0</v>
      </c>
      <c r="K110" s="76">
        <f t="shared" si="1"/>
        <v>2575365.6224336163</v>
      </c>
      <c r="M110" s="36"/>
    </row>
    <row r="111" spans="1:13" ht="12.75">
      <c r="A111" s="3" t="s">
        <v>142</v>
      </c>
      <c r="B111" t="s">
        <v>140</v>
      </c>
      <c r="C111" s="59" t="s">
        <v>409</v>
      </c>
      <c r="D111" s="49">
        <v>645477.5673413684</v>
      </c>
      <c r="E111" s="1">
        <v>0</v>
      </c>
      <c r="F111" s="36">
        <v>0</v>
      </c>
      <c r="G111" s="36">
        <v>0</v>
      </c>
      <c r="H111" s="14">
        <v>0</v>
      </c>
      <c r="I111" s="14">
        <v>0</v>
      </c>
      <c r="J111" s="14">
        <v>0</v>
      </c>
      <c r="K111" s="76">
        <f t="shared" si="1"/>
        <v>645477.5673413684</v>
      </c>
      <c r="M111" s="36"/>
    </row>
    <row r="112" spans="1:13" ht="12.75">
      <c r="A112" s="3" t="s">
        <v>143</v>
      </c>
      <c r="B112" t="s">
        <v>144</v>
      </c>
      <c r="C112" s="59" t="s">
        <v>410</v>
      </c>
      <c r="D112" s="49">
        <v>10677866.917445013</v>
      </c>
      <c r="E112" s="1">
        <v>0</v>
      </c>
      <c r="F112" s="36">
        <v>0</v>
      </c>
      <c r="G112" s="36">
        <v>0</v>
      </c>
      <c r="H112" s="14">
        <v>0</v>
      </c>
      <c r="I112" s="14">
        <v>0</v>
      </c>
      <c r="J112" s="14">
        <v>0</v>
      </c>
      <c r="K112" s="76">
        <f t="shared" si="1"/>
        <v>10677866.917445013</v>
      </c>
      <c r="M112" s="36"/>
    </row>
    <row r="113" spans="1:13" ht="12.75">
      <c r="A113" s="3" t="s">
        <v>145</v>
      </c>
      <c r="B113" t="s">
        <v>144</v>
      </c>
      <c r="C113" s="59" t="s">
        <v>411</v>
      </c>
      <c r="D113" s="49">
        <v>1287297.8611963387</v>
      </c>
      <c r="E113" s="1">
        <v>0</v>
      </c>
      <c r="F113" s="36">
        <v>0</v>
      </c>
      <c r="G113" s="36">
        <v>0</v>
      </c>
      <c r="H113" s="14">
        <v>0</v>
      </c>
      <c r="I113" s="14">
        <v>0</v>
      </c>
      <c r="J113" s="14">
        <v>0</v>
      </c>
      <c r="K113" s="76">
        <f t="shared" si="1"/>
        <v>1287297.8611963387</v>
      </c>
      <c r="M113" s="36"/>
    </row>
    <row r="114" spans="1:13" ht="12.75">
      <c r="A114" s="3" t="s">
        <v>146</v>
      </c>
      <c r="B114" t="s">
        <v>144</v>
      </c>
      <c r="C114" s="59" t="s">
        <v>412</v>
      </c>
      <c r="D114" s="49">
        <v>2553596.3177936175</v>
      </c>
      <c r="E114" s="1">
        <v>0</v>
      </c>
      <c r="F114" s="36">
        <v>0</v>
      </c>
      <c r="G114" s="36">
        <v>0</v>
      </c>
      <c r="H114" s="14">
        <v>0</v>
      </c>
      <c r="I114" s="14">
        <v>0</v>
      </c>
      <c r="J114" s="14">
        <v>0</v>
      </c>
      <c r="K114" s="76">
        <f t="shared" si="1"/>
        <v>2553596.3177936175</v>
      </c>
      <c r="M114" s="36"/>
    </row>
    <row r="115" spans="1:13" ht="12.75">
      <c r="A115" s="3" t="s">
        <v>147</v>
      </c>
      <c r="B115" t="s">
        <v>144</v>
      </c>
      <c r="C115" s="59" t="s">
        <v>413</v>
      </c>
      <c r="D115" s="49">
        <v>1010521.2150378675</v>
      </c>
      <c r="E115" s="1">
        <v>0</v>
      </c>
      <c r="F115" s="36">
        <v>0</v>
      </c>
      <c r="G115" s="36">
        <v>0</v>
      </c>
      <c r="H115" s="14">
        <v>0</v>
      </c>
      <c r="I115" s="14">
        <v>0</v>
      </c>
      <c r="J115" s="14">
        <v>0</v>
      </c>
      <c r="K115" s="76">
        <f t="shared" si="1"/>
        <v>1010521.2150378675</v>
      </c>
      <c r="M115" s="36"/>
    </row>
    <row r="116" spans="1:13" ht="12.75">
      <c r="A116" s="3" t="s">
        <v>148</v>
      </c>
      <c r="B116" t="s">
        <v>149</v>
      </c>
      <c r="C116" s="59" t="s">
        <v>414</v>
      </c>
      <c r="D116" s="49">
        <v>1146615.9763221878</v>
      </c>
      <c r="E116" s="1">
        <v>0</v>
      </c>
      <c r="F116" s="36">
        <v>0</v>
      </c>
      <c r="G116" s="36">
        <v>0</v>
      </c>
      <c r="H116" s="14">
        <v>8710.33</v>
      </c>
      <c r="I116" s="14">
        <v>0</v>
      </c>
      <c r="J116" s="14">
        <v>0</v>
      </c>
      <c r="K116" s="76">
        <f t="shared" si="1"/>
        <v>1155326.306322188</v>
      </c>
      <c r="M116" s="36"/>
    </row>
    <row r="117" spans="1:13" ht="12.75">
      <c r="A117" s="3" t="s">
        <v>150</v>
      </c>
      <c r="B117" t="s">
        <v>149</v>
      </c>
      <c r="C117" s="59" t="s">
        <v>415</v>
      </c>
      <c r="D117" s="49">
        <v>2050798.0700933777</v>
      </c>
      <c r="E117" s="1">
        <v>0</v>
      </c>
      <c r="F117" s="36">
        <v>0</v>
      </c>
      <c r="G117" s="36">
        <v>0</v>
      </c>
      <c r="H117" s="14">
        <v>0</v>
      </c>
      <c r="I117" s="14">
        <v>0</v>
      </c>
      <c r="J117" s="14">
        <v>0</v>
      </c>
      <c r="K117" s="76">
        <f t="shared" si="1"/>
        <v>2050798.0700933777</v>
      </c>
      <c r="M117" s="36"/>
    </row>
    <row r="118" spans="1:13" ht="12.75">
      <c r="A118" s="3" t="s">
        <v>151</v>
      </c>
      <c r="B118" t="s">
        <v>149</v>
      </c>
      <c r="C118" s="59" t="s">
        <v>416</v>
      </c>
      <c r="D118" s="49">
        <v>115506932.82052252</v>
      </c>
      <c r="E118" s="1">
        <v>225990</v>
      </c>
      <c r="F118" s="36">
        <v>346219.92</v>
      </c>
      <c r="G118" s="36">
        <v>0</v>
      </c>
      <c r="H118" s="14">
        <v>0</v>
      </c>
      <c r="I118" s="14">
        <v>0</v>
      </c>
      <c r="J118" s="14">
        <v>0</v>
      </c>
      <c r="K118" s="76">
        <f t="shared" si="1"/>
        <v>116079142.74052252</v>
      </c>
      <c r="M118" s="36"/>
    </row>
    <row r="119" spans="1:13" ht="12.75">
      <c r="A119" s="3" t="s">
        <v>152</v>
      </c>
      <c r="B119" t="s">
        <v>153</v>
      </c>
      <c r="C119" s="59" t="s">
        <v>417</v>
      </c>
      <c r="D119" s="49">
        <v>543201.1899566163</v>
      </c>
      <c r="E119" s="1">
        <v>0</v>
      </c>
      <c r="F119" s="36">
        <v>0</v>
      </c>
      <c r="G119" s="36">
        <v>0</v>
      </c>
      <c r="H119" s="14">
        <v>0</v>
      </c>
      <c r="I119" s="14">
        <v>0</v>
      </c>
      <c r="J119" s="14">
        <v>0</v>
      </c>
      <c r="K119" s="76">
        <f t="shared" si="1"/>
        <v>543201.1899566163</v>
      </c>
      <c r="M119" s="36"/>
    </row>
    <row r="120" spans="1:13" ht="12.75">
      <c r="A120" s="3" t="s">
        <v>154</v>
      </c>
      <c r="B120" t="s">
        <v>155</v>
      </c>
      <c r="C120" s="59" t="s">
        <v>418</v>
      </c>
      <c r="D120" s="49">
        <v>7154568.700561013</v>
      </c>
      <c r="E120" s="1">
        <v>62134.500000000015</v>
      </c>
      <c r="F120" s="36">
        <v>0</v>
      </c>
      <c r="G120" s="36">
        <v>0</v>
      </c>
      <c r="H120" s="14">
        <v>0</v>
      </c>
      <c r="I120" s="14">
        <v>0</v>
      </c>
      <c r="J120" s="14">
        <v>0</v>
      </c>
      <c r="K120" s="76">
        <f t="shared" si="1"/>
        <v>7216703.200561013</v>
      </c>
      <c r="M120" s="36"/>
    </row>
    <row r="121" spans="1:13" ht="12.75">
      <c r="A121" s="3" t="s">
        <v>156</v>
      </c>
      <c r="B121" t="s">
        <v>157</v>
      </c>
      <c r="C121" s="59" t="s">
        <v>419</v>
      </c>
      <c r="D121" s="49">
        <v>9917953.408818208</v>
      </c>
      <c r="E121" s="1">
        <v>0</v>
      </c>
      <c r="F121" s="36">
        <v>0</v>
      </c>
      <c r="G121" s="36">
        <v>0</v>
      </c>
      <c r="H121" s="14">
        <v>0</v>
      </c>
      <c r="I121" s="14">
        <v>0</v>
      </c>
      <c r="J121" s="14">
        <v>0</v>
      </c>
      <c r="K121" s="76">
        <f t="shared" si="1"/>
        <v>9917953.408818208</v>
      </c>
      <c r="M121" s="36"/>
    </row>
    <row r="122" spans="1:13" ht="12.75">
      <c r="A122" s="3" t="s">
        <v>158</v>
      </c>
      <c r="B122" t="s">
        <v>157</v>
      </c>
      <c r="C122" s="59" t="s">
        <v>420</v>
      </c>
      <c r="D122" s="49">
        <v>4690812.069620601</v>
      </c>
      <c r="E122" s="1">
        <v>0</v>
      </c>
      <c r="F122" s="36">
        <v>0</v>
      </c>
      <c r="G122" s="36">
        <v>0</v>
      </c>
      <c r="H122" s="14">
        <v>0</v>
      </c>
      <c r="I122" s="14">
        <v>0</v>
      </c>
      <c r="J122" s="14">
        <v>0</v>
      </c>
      <c r="K122" s="76">
        <f t="shared" si="1"/>
        <v>4690812.069620601</v>
      </c>
      <c r="M122" s="36"/>
    </row>
    <row r="123" spans="1:13" ht="12.75">
      <c r="A123" s="3" t="s">
        <v>159</v>
      </c>
      <c r="B123" t="s">
        <v>157</v>
      </c>
      <c r="C123" s="59" t="s">
        <v>421</v>
      </c>
      <c r="D123" s="49">
        <v>3342974.0133156297</v>
      </c>
      <c r="E123" s="1">
        <v>0</v>
      </c>
      <c r="F123" s="36">
        <v>0</v>
      </c>
      <c r="G123" s="36">
        <v>0</v>
      </c>
      <c r="H123" s="14">
        <v>0</v>
      </c>
      <c r="I123" s="14">
        <v>0</v>
      </c>
      <c r="J123" s="14">
        <v>0</v>
      </c>
      <c r="K123" s="76">
        <f t="shared" si="1"/>
        <v>3342974.0133156297</v>
      </c>
      <c r="M123" s="36"/>
    </row>
    <row r="124" spans="1:13" ht="12.75">
      <c r="A124" s="3" t="s">
        <v>160</v>
      </c>
      <c r="B124" t="s">
        <v>161</v>
      </c>
      <c r="C124" s="59" t="s">
        <v>422</v>
      </c>
      <c r="D124" s="49">
        <v>35045651.79966055</v>
      </c>
      <c r="E124" s="1">
        <v>61555.000000000015</v>
      </c>
      <c r="F124" s="36">
        <v>0</v>
      </c>
      <c r="G124" s="36">
        <v>0</v>
      </c>
      <c r="H124" s="14">
        <v>0</v>
      </c>
      <c r="I124" s="14">
        <v>0</v>
      </c>
      <c r="J124" s="14">
        <v>0</v>
      </c>
      <c r="K124" s="76">
        <f t="shared" si="1"/>
        <v>35107206.79966055</v>
      </c>
      <c r="M124" s="36"/>
    </row>
    <row r="125" spans="1:13" ht="12.75">
      <c r="A125" s="3" t="s">
        <v>162</v>
      </c>
      <c r="B125" t="s">
        <v>161</v>
      </c>
      <c r="C125" s="59" t="s">
        <v>423</v>
      </c>
      <c r="D125" s="49">
        <v>2588199.9648715863</v>
      </c>
      <c r="E125" s="1">
        <v>0</v>
      </c>
      <c r="F125" s="36">
        <v>0</v>
      </c>
      <c r="G125" s="36">
        <v>0</v>
      </c>
      <c r="H125" s="14">
        <v>5645.160000000001</v>
      </c>
      <c r="I125" s="14">
        <v>0</v>
      </c>
      <c r="J125" s="14">
        <v>0</v>
      </c>
      <c r="K125" s="76">
        <f t="shared" si="1"/>
        <v>2593845.1248715864</v>
      </c>
      <c r="M125" s="36"/>
    </row>
    <row r="126" spans="1:13" ht="12.75">
      <c r="A126" s="3" t="s">
        <v>163</v>
      </c>
      <c r="B126" t="s">
        <v>164</v>
      </c>
      <c r="C126" s="59" t="s">
        <v>424</v>
      </c>
      <c r="D126" s="49">
        <v>5099723.984429182</v>
      </c>
      <c r="E126" s="1">
        <v>0</v>
      </c>
      <c r="F126" s="36">
        <v>0</v>
      </c>
      <c r="G126" s="36">
        <v>0</v>
      </c>
      <c r="H126" s="14">
        <v>0</v>
      </c>
      <c r="I126" s="14">
        <v>0</v>
      </c>
      <c r="J126" s="14">
        <v>0</v>
      </c>
      <c r="K126" s="76">
        <f t="shared" si="1"/>
        <v>5099723.984429182</v>
      </c>
      <c r="M126" s="36"/>
    </row>
    <row r="127" spans="1:13" ht="12.75">
      <c r="A127" s="3" t="s">
        <v>165</v>
      </c>
      <c r="B127" t="s">
        <v>164</v>
      </c>
      <c r="C127" s="59" t="s">
        <v>425</v>
      </c>
      <c r="D127" s="49">
        <v>18556563.526315216</v>
      </c>
      <c r="E127" s="1">
        <v>15925.34</v>
      </c>
      <c r="F127" s="36">
        <v>0</v>
      </c>
      <c r="G127" s="36">
        <v>0</v>
      </c>
      <c r="H127" s="14">
        <v>0</v>
      </c>
      <c r="I127" s="14">
        <v>0</v>
      </c>
      <c r="J127" s="14">
        <v>0</v>
      </c>
      <c r="K127" s="76">
        <f t="shared" si="1"/>
        <v>18572488.866315216</v>
      </c>
      <c r="M127" s="36"/>
    </row>
    <row r="128" spans="1:13" ht="12.75">
      <c r="A128" s="3" t="s">
        <v>166</v>
      </c>
      <c r="B128" t="s">
        <v>164</v>
      </c>
      <c r="C128" s="59" t="s">
        <v>426</v>
      </c>
      <c r="D128" s="49">
        <v>2257152.076705605</v>
      </c>
      <c r="E128" s="1">
        <v>0</v>
      </c>
      <c r="F128" s="36">
        <v>0</v>
      </c>
      <c r="G128" s="36">
        <v>0</v>
      </c>
      <c r="H128" s="14">
        <v>0</v>
      </c>
      <c r="I128" s="14">
        <v>0</v>
      </c>
      <c r="J128" s="14">
        <v>0</v>
      </c>
      <c r="K128" s="76">
        <f t="shared" si="1"/>
        <v>2257152.076705605</v>
      </c>
      <c r="M128" s="36"/>
    </row>
    <row r="129" spans="1:13" ht="12.75">
      <c r="A129" s="3" t="s">
        <v>167</v>
      </c>
      <c r="B129" t="s">
        <v>164</v>
      </c>
      <c r="C129" s="59" t="s">
        <v>427</v>
      </c>
      <c r="D129" s="49">
        <v>1653420.150493834</v>
      </c>
      <c r="E129" s="1">
        <v>0</v>
      </c>
      <c r="F129" s="36">
        <v>0</v>
      </c>
      <c r="G129" s="36">
        <v>0</v>
      </c>
      <c r="H129" s="14">
        <v>0</v>
      </c>
      <c r="I129" s="14">
        <v>0</v>
      </c>
      <c r="J129" s="14">
        <v>0</v>
      </c>
      <c r="K129" s="76">
        <f t="shared" si="1"/>
        <v>1653420.150493834</v>
      </c>
      <c r="M129" s="36"/>
    </row>
    <row r="130" spans="1:13" ht="12.75">
      <c r="A130" s="3" t="s">
        <v>168</v>
      </c>
      <c r="B130" t="s">
        <v>169</v>
      </c>
      <c r="C130" s="59" t="s">
        <v>428</v>
      </c>
      <c r="D130" s="49">
        <v>9976162.786896871</v>
      </c>
      <c r="E130" s="1">
        <v>0</v>
      </c>
      <c r="F130" s="36">
        <v>0</v>
      </c>
      <c r="G130" s="36">
        <v>0</v>
      </c>
      <c r="H130" s="14">
        <v>0</v>
      </c>
      <c r="I130" s="14">
        <v>0</v>
      </c>
      <c r="J130" s="14">
        <v>0</v>
      </c>
      <c r="K130" s="76">
        <f t="shared" si="1"/>
        <v>9976162.786896871</v>
      </c>
      <c r="M130" s="36"/>
    </row>
    <row r="131" spans="1:13" ht="12.75">
      <c r="A131" s="3" t="s">
        <v>170</v>
      </c>
      <c r="B131" t="s">
        <v>169</v>
      </c>
      <c r="C131" s="59" t="s">
        <v>429</v>
      </c>
      <c r="D131" s="49">
        <v>5964695.144886294</v>
      </c>
      <c r="E131" s="1">
        <v>0</v>
      </c>
      <c r="F131" s="36">
        <v>0</v>
      </c>
      <c r="G131" s="36">
        <v>0</v>
      </c>
      <c r="H131" s="14">
        <v>0</v>
      </c>
      <c r="I131" s="14">
        <v>0</v>
      </c>
      <c r="J131" s="14">
        <v>0</v>
      </c>
      <c r="K131" s="76">
        <f t="shared" si="1"/>
        <v>5964695.144886294</v>
      </c>
      <c r="M131" s="36"/>
    </row>
    <row r="132" spans="1:13" ht="12.75">
      <c r="A132" s="3" t="s">
        <v>171</v>
      </c>
      <c r="B132" t="s">
        <v>169</v>
      </c>
      <c r="C132" s="59" t="s">
        <v>430</v>
      </c>
      <c r="D132" s="49">
        <v>1819629.2425590002</v>
      </c>
      <c r="E132" s="1">
        <v>0</v>
      </c>
      <c r="F132" s="36">
        <v>0</v>
      </c>
      <c r="G132" s="36">
        <v>0</v>
      </c>
      <c r="H132" s="14">
        <v>0</v>
      </c>
      <c r="I132" s="14">
        <v>0</v>
      </c>
      <c r="J132" s="14">
        <v>0</v>
      </c>
      <c r="K132" s="76">
        <f t="shared" si="1"/>
        <v>1819629.2425590002</v>
      </c>
      <c r="M132" s="36"/>
    </row>
    <row r="133" spans="1:13" ht="12.75">
      <c r="A133" s="3" t="s">
        <v>172</v>
      </c>
      <c r="B133" t="s">
        <v>169</v>
      </c>
      <c r="C133" s="59" t="s">
        <v>431</v>
      </c>
      <c r="D133" s="49">
        <v>3012845.331476586</v>
      </c>
      <c r="E133" s="1">
        <v>0</v>
      </c>
      <c r="F133" s="36">
        <v>0</v>
      </c>
      <c r="G133" s="36">
        <v>0</v>
      </c>
      <c r="H133" s="14">
        <v>0</v>
      </c>
      <c r="I133" s="14">
        <v>0</v>
      </c>
      <c r="J133" s="14">
        <v>0</v>
      </c>
      <c r="K133" s="76">
        <f t="shared" si="1"/>
        <v>3012845.331476586</v>
      </c>
      <c r="M133" s="36"/>
    </row>
    <row r="134" spans="1:13" ht="12.75">
      <c r="A134" s="3" t="s">
        <v>173</v>
      </c>
      <c r="B134" t="s">
        <v>169</v>
      </c>
      <c r="C134" s="59" t="s">
        <v>432</v>
      </c>
      <c r="D134" s="49">
        <v>2412776.2278398103</v>
      </c>
      <c r="E134" s="1">
        <v>0</v>
      </c>
      <c r="F134" s="36">
        <v>0</v>
      </c>
      <c r="G134" s="36">
        <v>0</v>
      </c>
      <c r="H134" s="14">
        <v>4798.75</v>
      </c>
      <c r="I134" s="14">
        <v>0</v>
      </c>
      <c r="J134" s="14">
        <v>0</v>
      </c>
      <c r="K134" s="76">
        <f t="shared" si="1"/>
        <v>2417574.9778398103</v>
      </c>
      <c r="M134" s="36"/>
    </row>
    <row r="135" spans="1:13" ht="12.75">
      <c r="A135" s="3" t="s">
        <v>174</v>
      </c>
      <c r="B135" t="s">
        <v>169</v>
      </c>
      <c r="C135" s="59" t="s">
        <v>433</v>
      </c>
      <c r="D135" s="49">
        <v>3076916.3736297004</v>
      </c>
      <c r="E135" s="1">
        <v>0</v>
      </c>
      <c r="F135" s="36">
        <v>0</v>
      </c>
      <c r="G135" s="36">
        <v>0</v>
      </c>
      <c r="H135" s="111">
        <v>0</v>
      </c>
      <c r="I135" s="14">
        <v>0</v>
      </c>
      <c r="J135" s="14">
        <v>0</v>
      </c>
      <c r="K135" s="76">
        <f t="shared" si="1"/>
        <v>3076916.3736297004</v>
      </c>
      <c r="M135" s="36"/>
    </row>
    <row r="136" spans="1:13" ht="12.75">
      <c r="A136" s="3" t="s">
        <v>175</v>
      </c>
      <c r="B136" t="s">
        <v>176</v>
      </c>
      <c r="C136" s="59" t="s">
        <v>434</v>
      </c>
      <c r="D136" s="49">
        <v>1442992.6904378373</v>
      </c>
      <c r="E136" s="1">
        <v>0</v>
      </c>
      <c r="F136" s="36">
        <v>0</v>
      </c>
      <c r="G136" s="36">
        <v>0</v>
      </c>
      <c r="H136" s="14">
        <v>0</v>
      </c>
      <c r="I136" s="14">
        <v>0</v>
      </c>
      <c r="J136" s="14">
        <v>0</v>
      </c>
      <c r="K136" s="76">
        <f t="shared" si="1"/>
        <v>1442992.6904378373</v>
      </c>
      <c r="M136" s="36"/>
    </row>
    <row r="137" spans="1:13" ht="12.75">
      <c r="A137" s="3" t="s">
        <v>177</v>
      </c>
      <c r="B137" t="s">
        <v>176</v>
      </c>
      <c r="C137" s="59" t="s">
        <v>435</v>
      </c>
      <c r="D137" s="49">
        <v>2379441.2339847935</v>
      </c>
      <c r="E137" s="1">
        <v>0</v>
      </c>
      <c r="F137" s="36">
        <v>0</v>
      </c>
      <c r="G137" s="36">
        <v>0</v>
      </c>
      <c r="H137" s="14">
        <v>-0.04</v>
      </c>
      <c r="I137" s="14">
        <v>0</v>
      </c>
      <c r="J137" s="14">
        <v>0</v>
      </c>
      <c r="K137" s="76">
        <f t="shared" si="1"/>
        <v>2379441.1939847935</v>
      </c>
      <c r="M137" s="36"/>
    </row>
    <row r="138" spans="1:13" ht="12.75">
      <c r="A138" s="3" t="s">
        <v>178</v>
      </c>
      <c r="B138" t="s">
        <v>179</v>
      </c>
      <c r="C138" s="59" t="s">
        <v>436</v>
      </c>
      <c r="D138" s="49">
        <v>5134249.206883108</v>
      </c>
      <c r="E138" s="1">
        <v>0</v>
      </c>
      <c r="F138" s="36">
        <v>0</v>
      </c>
      <c r="G138" s="36">
        <v>0</v>
      </c>
      <c r="H138" s="14">
        <v>0</v>
      </c>
      <c r="I138" s="14">
        <v>0</v>
      </c>
      <c r="J138" s="14">
        <v>0</v>
      </c>
      <c r="K138" s="76">
        <f t="shared" si="1"/>
        <v>5134249.206883108</v>
      </c>
      <c r="M138" s="36"/>
    </row>
    <row r="139" spans="1:13" ht="12.75">
      <c r="A139" s="3" t="s">
        <v>180</v>
      </c>
      <c r="B139" t="s">
        <v>179</v>
      </c>
      <c r="C139" s="59" t="s">
        <v>437</v>
      </c>
      <c r="D139" s="49">
        <v>1502510.1541931527</v>
      </c>
      <c r="E139" s="1">
        <v>0</v>
      </c>
      <c r="F139" s="36">
        <v>0</v>
      </c>
      <c r="G139" s="36">
        <v>0</v>
      </c>
      <c r="H139" s="14">
        <v>0</v>
      </c>
      <c r="I139" s="14">
        <v>0</v>
      </c>
      <c r="J139" s="14">
        <v>0</v>
      </c>
      <c r="K139" s="76">
        <f t="shared" si="1"/>
        <v>1502510.1541931527</v>
      </c>
      <c r="M139" s="36"/>
    </row>
    <row r="140" spans="1:13" ht="12.75">
      <c r="A140" s="3" t="s">
        <v>181</v>
      </c>
      <c r="B140" t="s">
        <v>182</v>
      </c>
      <c r="C140" s="59" t="s">
        <v>438</v>
      </c>
      <c r="D140" s="49">
        <v>2771035.05752958</v>
      </c>
      <c r="E140" s="1">
        <v>0</v>
      </c>
      <c r="F140" s="36">
        <v>0</v>
      </c>
      <c r="G140" s="36">
        <v>0</v>
      </c>
      <c r="H140" s="14">
        <v>0</v>
      </c>
      <c r="I140" s="14">
        <v>0</v>
      </c>
      <c r="J140" s="14">
        <v>0</v>
      </c>
      <c r="K140" s="76">
        <f aca="true" t="shared" si="2" ref="K140:K203">SUM(D140:J140)</f>
        <v>2771035.05752958</v>
      </c>
      <c r="M140" s="36"/>
    </row>
    <row r="141" spans="1:13" ht="12.75">
      <c r="A141" s="3" t="s">
        <v>183</v>
      </c>
      <c r="B141" t="s">
        <v>182</v>
      </c>
      <c r="C141" s="59" t="s">
        <v>439</v>
      </c>
      <c r="D141" s="49">
        <v>2246743.187012752</v>
      </c>
      <c r="E141" s="1">
        <v>0</v>
      </c>
      <c r="F141" s="36">
        <v>0</v>
      </c>
      <c r="G141" s="36">
        <v>0</v>
      </c>
      <c r="H141" s="14">
        <v>0</v>
      </c>
      <c r="I141" s="14">
        <v>0</v>
      </c>
      <c r="J141" s="14">
        <v>0</v>
      </c>
      <c r="K141" s="76">
        <f t="shared" si="2"/>
        <v>2246743.187012752</v>
      </c>
      <c r="M141" s="36"/>
    </row>
    <row r="142" spans="1:13" ht="12.75">
      <c r="A142" s="3" t="s">
        <v>184</v>
      </c>
      <c r="B142" t="s">
        <v>185</v>
      </c>
      <c r="C142" s="59" t="s">
        <v>440</v>
      </c>
      <c r="D142" s="49">
        <v>4051518.39182417</v>
      </c>
      <c r="E142" s="1">
        <v>0</v>
      </c>
      <c r="F142" s="36">
        <v>0</v>
      </c>
      <c r="G142" s="36">
        <v>0</v>
      </c>
      <c r="H142" s="14">
        <v>0</v>
      </c>
      <c r="I142" s="14">
        <v>0</v>
      </c>
      <c r="J142" s="14">
        <v>0</v>
      </c>
      <c r="K142" s="76">
        <f t="shared" si="2"/>
        <v>4051518.39182417</v>
      </c>
      <c r="M142" s="36"/>
    </row>
    <row r="143" spans="1:13" ht="12.75">
      <c r="A143" s="3" t="s">
        <v>186</v>
      </c>
      <c r="B143" t="s">
        <v>187</v>
      </c>
      <c r="C143" s="59" t="s">
        <v>441</v>
      </c>
      <c r="D143" s="49">
        <v>2026982.2022971213</v>
      </c>
      <c r="E143" s="1">
        <v>0</v>
      </c>
      <c r="F143" s="36">
        <v>0</v>
      </c>
      <c r="G143" s="36">
        <v>0</v>
      </c>
      <c r="H143" s="14">
        <v>0</v>
      </c>
      <c r="I143" s="14">
        <v>0</v>
      </c>
      <c r="J143" s="14">
        <v>0</v>
      </c>
      <c r="K143" s="76">
        <f t="shared" si="2"/>
        <v>2026982.2022971213</v>
      </c>
      <c r="M143" s="36"/>
    </row>
    <row r="144" spans="1:13" ht="12.75">
      <c r="A144" s="3" t="s">
        <v>188</v>
      </c>
      <c r="B144" t="s">
        <v>187</v>
      </c>
      <c r="C144" s="59" t="s">
        <v>442</v>
      </c>
      <c r="D144" s="49">
        <v>10270343.440586375</v>
      </c>
      <c r="E144" s="1">
        <v>0</v>
      </c>
      <c r="F144" s="36">
        <v>0</v>
      </c>
      <c r="G144" s="36">
        <v>0</v>
      </c>
      <c r="H144" s="14">
        <v>0</v>
      </c>
      <c r="I144" s="14">
        <v>0</v>
      </c>
      <c r="J144" s="14">
        <v>0</v>
      </c>
      <c r="K144" s="76">
        <f t="shared" si="2"/>
        <v>10270343.440586375</v>
      </c>
      <c r="M144" s="36"/>
    </row>
    <row r="145" spans="1:13" ht="12.75">
      <c r="A145" s="3" t="s">
        <v>189</v>
      </c>
      <c r="B145" t="s">
        <v>187</v>
      </c>
      <c r="C145" s="59" t="s">
        <v>443</v>
      </c>
      <c r="D145" s="49">
        <v>2244213.7410330637</v>
      </c>
      <c r="E145" s="1">
        <v>0</v>
      </c>
      <c r="F145" s="36">
        <v>0</v>
      </c>
      <c r="G145" s="36">
        <v>0</v>
      </c>
      <c r="H145" s="14">
        <v>0</v>
      </c>
      <c r="I145" s="14">
        <v>0</v>
      </c>
      <c r="J145" s="14">
        <v>0</v>
      </c>
      <c r="K145" s="76">
        <f t="shared" si="2"/>
        <v>2244213.7410330637</v>
      </c>
      <c r="M145" s="36"/>
    </row>
    <row r="146" spans="1:13" ht="12.75">
      <c r="A146" s="3" t="s">
        <v>190</v>
      </c>
      <c r="B146" t="s">
        <v>187</v>
      </c>
      <c r="C146" s="59" t="s">
        <v>444</v>
      </c>
      <c r="D146" s="49">
        <v>2292749.944023397</v>
      </c>
      <c r="E146" s="1">
        <v>0</v>
      </c>
      <c r="F146" s="36">
        <v>0</v>
      </c>
      <c r="G146" s="36">
        <v>0</v>
      </c>
      <c r="H146" s="14">
        <v>0</v>
      </c>
      <c r="I146" s="14">
        <v>0</v>
      </c>
      <c r="J146" s="14">
        <v>0</v>
      </c>
      <c r="K146" s="76">
        <f t="shared" si="2"/>
        <v>2292749.944023397</v>
      </c>
      <c r="M146" s="36"/>
    </row>
    <row r="147" spans="1:13" ht="12.75">
      <c r="A147" s="3" t="s">
        <v>191</v>
      </c>
      <c r="B147" t="s">
        <v>192</v>
      </c>
      <c r="C147" s="59" t="s">
        <v>445</v>
      </c>
      <c r="D147" s="49">
        <v>106842542.90161918</v>
      </c>
      <c r="E147" s="1">
        <v>0</v>
      </c>
      <c r="F147" s="36">
        <v>972979.2000000001</v>
      </c>
      <c r="G147" s="36">
        <v>0</v>
      </c>
      <c r="H147" s="14">
        <v>0</v>
      </c>
      <c r="I147" s="14">
        <v>0</v>
      </c>
      <c r="J147" s="14">
        <v>0</v>
      </c>
      <c r="K147" s="76">
        <f t="shared" si="2"/>
        <v>107815522.10161918</v>
      </c>
      <c r="M147" s="36"/>
    </row>
    <row r="148" spans="1:13" ht="12.75">
      <c r="A148" s="3" t="s">
        <v>193</v>
      </c>
      <c r="B148" t="s">
        <v>192</v>
      </c>
      <c r="C148" s="59" t="s">
        <v>446</v>
      </c>
      <c r="D148" s="49">
        <v>52935455.45810747</v>
      </c>
      <c r="E148" s="1">
        <v>0</v>
      </c>
      <c r="F148" s="36">
        <v>238564.82</v>
      </c>
      <c r="G148" s="36">
        <v>0</v>
      </c>
      <c r="H148" s="14">
        <v>0</v>
      </c>
      <c r="I148" s="14">
        <v>0</v>
      </c>
      <c r="J148" s="14">
        <v>0</v>
      </c>
      <c r="K148" s="76">
        <f t="shared" si="2"/>
        <v>53174020.27810747</v>
      </c>
      <c r="M148" s="36"/>
    </row>
    <row r="149" spans="1:13" ht="12.75">
      <c r="A149" s="3" t="s">
        <v>194</v>
      </c>
      <c r="B149" t="s">
        <v>195</v>
      </c>
      <c r="C149" s="59" t="s">
        <v>447</v>
      </c>
      <c r="D149" s="49">
        <v>2376989.330194568</v>
      </c>
      <c r="E149" s="1">
        <v>0</v>
      </c>
      <c r="F149" s="36">
        <v>0</v>
      </c>
      <c r="G149" s="36">
        <v>0</v>
      </c>
      <c r="H149" s="14">
        <v>0</v>
      </c>
      <c r="I149" s="14">
        <v>0</v>
      </c>
      <c r="J149" s="14">
        <v>0</v>
      </c>
      <c r="K149" s="76">
        <f t="shared" si="2"/>
        <v>2376989.330194568</v>
      </c>
      <c r="M149" s="36"/>
    </row>
    <row r="150" spans="1:13" ht="12.75">
      <c r="A150" s="3" t="s">
        <v>196</v>
      </c>
      <c r="B150" t="s">
        <v>195</v>
      </c>
      <c r="C150" s="59" t="s">
        <v>448</v>
      </c>
      <c r="D150" s="49">
        <v>3486892.0552780726</v>
      </c>
      <c r="E150" s="1">
        <v>80972.09999999998</v>
      </c>
      <c r="F150" s="36">
        <v>0</v>
      </c>
      <c r="G150" s="36">
        <v>0</v>
      </c>
      <c r="H150" s="14">
        <v>0</v>
      </c>
      <c r="I150" s="14">
        <v>0</v>
      </c>
      <c r="J150" s="14">
        <v>0</v>
      </c>
      <c r="K150" s="76">
        <f t="shared" si="2"/>
        <v>3567864.1552780727</v>
      </c>
      <c r="M150" s="36"/>
    </row>
    <row r="151" spans="1:13" ht="12.75">
      <c r="A151" s="3" t="s">
        <v>197</v>
      </c>
      <c r="B151" t="s">
        <v>198</v>
      </c>
      <c r="C151" s="59" t="s">
        <v>449</v>
      </c>
      <c r="D151" s="49">
        <v>2358051.1002140506</v>
      </c>
      <c r="E151" s="1">
        <v>0</v>
      </c>
      <c r="F151" s="36">
        <v>0</v>
      </c>
      <c r="G151" s="36">
        <v>0</v>
      </c>
      <c r="H151" s="14">
        <v>0</v>
      </c>
      <c r="I151" s="14">
        <v>0</v>
      </c>
      <c r="J151" s="14">
        <v>0</v>
      </c>
      <c r="K151" s="76">
        <f t="shared" si="2"/>
        <v>2358051.1002140506</v>
      </c>
      <c r="M151" s="36"/>
    </row>
    <row r="152" spans="1:13" ht="12.75">
      <c r="A152" s="3" t="s">
        <v>199</v>
      </c>
      <c r="B152" t="s">
        <v>198</v>
      </c>
      <c r="C152" s="59" t="s">
        <v>450</v>
      </c>
      <c r="D152" s="49">
        <v>7315247.226459899</v>
      </c>
      <c r="E152" s="1">
        <v>0</v>
      </c>
      <c r="F152" s="36">
        <v>0</v>
      </c>
      <c r="G152" s="36">
        <v>0</v>
      </c>
      <c r="H152" s="14">
        <v>0</v>
      </c>
      <c r="I152" s="14">
        <v>0</v>
      </c>
      <c r="J152" s="14">
        <v>0</v>
      </c>
      <c r="K152" s="76">
        <f t="shared" si="2"/>
        <v>7315247.226459899</v>
      </c>
      <c r="M152" s="36"/>
    </row>
    <row r="153" spans="1:13" ht="12.75">
      <c r="A153" s="3" t="s">
        <v>200</v>
      </c>
      <c r="B153" t="s">
        <v>198</v>
      </c>
      <c r="C153" s="59" t="s">
        <v>451</v>
      </c>
      <c r="D153" s="49">
        <v>2361480.412967486</v>
      </c>
      <c r="E153" s="1">
        <v>0</v>
      </c>
      <c r="F153" s="36">
        <v>0</v>
      </c>
      <c r="G153" s="36">
        <v>0</v>
      </c>
      <c r="H153" s="14">
        <v>0</v>
      </c>
      <c r="I153" s="14">
        <v>0</v>
      </c>
      <c r="J153" s="14">
        <v>0</v>
      </c>
      <c r="K153" s="76">
        <f t="shared" si="2"/>
        <v>2361480.412967486</v>
      </c>
      <c r="M153" s="36"/>
    </row>
    <row r="154" spans="1:13" ht="12.75">
      <c r="A154" s="3" t="s">
        <v>201</v>
      </c>
      <c r="B154" t="s">
        <v>202</v>
      </c>
      <c r="C154" s="59" t="s">
        <v>452</v>
      </c>
      <c r="D154" s="49">
        <v>1361831.8927669828</v>
      </c>
      <c r="E154" s="1">
        <v>0</v>
      </c>
      <c r="F154" s="36">
        <v>0</v>
      </c>
      <c r="G154" s="36">
        <v>0</v>
      </c>
      <c r="H154" s="14">
        <v>2.7874175552278757</v>
      </c>
      <c r="I154" s="14">
        <v>0</v>
      </c>
      <c r="J154" s="14">
        <v>0</v>
      </c>
      <c r="K154" s="76">
        <f t="shared" si="2"/>
        <v>1361834.680184538</v>
      </c>
      <c r="M154" s="36"/>
    </row>
    <row r="155" spans="1:13" ht="12.75">
      <c r="A155" s="3" t="s">
        <v>203</v>
      </c>
      <c r="B155" t="s">
        <v>202</v>
      </c>
      <c r="C155" s="59" t="s">
        <v>453</v>
      </c>
      <c r="D155" s="49">
        <v>11419516.952353977</v>
      </c>
      <c r="E155" s="1">
        <v>0</v>
      </c>
      <c r="F155" s="36">
        <v>0</v>
      </c>
      <c r="G155" s="36">
        <v>0</v>
      </c>
      <c r="H155" s="14">
        <v>0</v>
      </c>
      <c r="I155" s="14">
        <v>0</v>
      </c>
      <c r="J155" s="14">
        <v>0</v>
      </c>
      <c r="K155" s="76">
        <f t="shared" si="2"/>
        <v>11419516.952353977</v>
      </c>
      <c r="M155" s="36"/>
    </row>
    <row r="156" spans="1:13" ht="12.75">
      <c r="A156" s="3" t="s">
        <v>204</v>
      </c>
      <c r="B156" t="s">
        <v>202</v>
      </c>
      <c r="C156" s="59" t="s">
        <v>454</v>
      </c>
      <c r="D156" s="49">
        <v>1761032.4578161428</v>
      </c>
      <c r="E156" s="1">
        <v>0</v>
      </c>
      <c r="F156" s="36">
        <v>0</v>
      </c>
      <c r="G156" s="36">
        <v>0</v>
      </c>
      <c r="H156" s="14">
        <v>0</v>
      </c>
      <c r="I156" s="14">
        <v>0</v>
      </c>
      <c r="J156" s="14">
        <v>0</v>
      </c>
      <c r="K156" s="76">
        <f t="shared" si="2"/>
        <v>1761032.4578161428</v>
      </c>
      <c r="M156" s="36"/>
    </row>
    <row r="157" spans="1:13" ht="12.75">
      <c r="A157" s="3" t="s">
        <v>205</v>
      </c>
      <c r="B157" t="s">
        <v>206</v>
      </c>
      <c r="C157" s="59" t="s">
        <v>455</v>
      </c>
      <c r="D157" s="49">
        <v>1390850.5509786021</v>
      </c>
      <c r="E157" s="1">
        <v>0</v>
      </c>
      <c r="F157" s="36">
        <v>0</v>
      </c>
      <c r="G157" s="36">
        <v>0</v>
      </c>
      <c r="H157" s="14">
        <v>0</v>
      </c>
      <c r="I157" s="14">
        <v>0</v>
      </c>
      <c r="J157" s="14">
        <v>0</v>
      </c>
      <c r="K157" s="76">
        <f t="shared" si="2"/>
        <v>1390850.5509786021</v>
      </c>
      <c r="M157" s="36"/>
    </row>
    <row r="158" spans="1:13" ht="12.75">
      <c r="A158" s="3" t="s">
        <v>207</v>
      </c>
      <c r="B158" t="s">
        <v>206</v>
      </c>
      <c r="C158" s="59" t="s">
        <v>456</v>
      </c>
      <c r="D158" s="49">
        <v>2465608.8600920266</v>
      </c>
      <c r="E158" s="1">
        <v>0</v>
      </c>
      <c r="F158" s="36">
        <v>0</v>
      </c>
      <c r="G158" s="36">
        <v>0</v>
      </c>
      <c r="H158" s="14">
        <v>0</v>
      </c>
      <c r="I158" s="14">
        <v>0</v>
      </c>
      <c r="J158" s="14">
        <v>0</v>
      </c>
      <c r="K158" s="76">
        <f t="shared" si="2"/>
        <v>2465608.8600920266</v>
      </c>
      <c r="M158" s="36"/>
    </row>
    <row r="159" spans="1:13" ht="12.75">
      <c r="A159" s="3" t="s">
        <v>208</v>
      </c>
      <c r="B159" t="s">
        <v>206</v>
      </c>
      <c r="C159" s="59" t="s">
        <v>457</v>
      </c>
      <c r="D159" s="49">
        <v>4856916.294633527</v>
      </c>
      <c r="E159" s="1">
        <v>0</v>
      </c>
      <c r="F159" s="36">
        <v>0</v>
      </c>
      <c r="G159" s="36">
        <v>0</v>
      </c>
      <c r="H159" s="14">
        <v>0</v>
      </c>
      <c r="I159" s="14">
        <v>0</v>
      </c>
      <c r="J159" s="14">
        <v>0</v>
      </c>
      <c r="K159" s="76">
        <f t="shared" si="2"/>
        <v>4856916.294633527</v>
      </c>
      <c r="M159" s="36"/>
    </row>
    <row r="160" spans="1:13" ht="12.75">
      <c r="A160" s="3" t="s">
        <v>209</v>
      </c>
      <c r="B160" t="s">
        <v>210</v>
      </c>
      <c r="C160" s="59" t="s">
        <v>458</v>
      </c>
      <c r="D160" s="49">
        <v>616375.0672217625</v>
      </c>
      <c r="E160" s="1">
        <v>0</v>
      </c>
      <c r="F160" s="36">
        <v>0</v>
      </c>
      <c r="G160" s="36">
        <v>0</v>
      </c>
      <c r="H160" s="14">
        <v>0</v>
      </c>
      <c r="I160" s="14">
        <v>0</v>
      </c>
      <c r="J160" s="14">
        <v>0</v>
      </c>
      <c r="K160" s="76">
        <f t="shared" si="2"/>
        <v>616375.0672217625</v>
      </c>
      <c r="M160" s="36"/>
    </row>
    <row r="161" spans="1:13" ht="12.75">
      <c r="A161" s="3" t="s">
        <v>211</v>
      </c>
      <c r="B161" t="s">
        <v>212</v>
      </c>
      <c r="C161" s="59" t="s">
        <v>459</v>
      </c>
      <c r="D161" s="49">
        <v>4959252.418939393</v>
      </c>
      <c r="E161" s="1">
        <v>0</v>
      </c>
      <c r="F161" s="36">
        <v>0</v>
      </c>
      <c r="G161" s="36">
        <v>0</v>
      </c>
      <c r="H161" s="14">
        <v>0</v>
      </c>
      <c r="I161" s="14">
        <v>0</v>
      </c>
      <c r="J161" s="14">
        <v>0</v>
      </c>
      <c r="K161" s="76">
        <f t="shared" si="2"/>
        <v>4959252.418939393</v>
      </c>
      <c r="M161" s="36"/>
    </row>
    <row r="162" spans="1:13" ht="12.75">
      <c r="A162" s="3" t="s">
        <v>213</v>
      </c>
      <c r="B162" t="s">
        <v>212</v>
      </c>
      <c r="C162" s="59" t="s">
        <v>460</v>
      </c>
      <c r="D162" s="49">
        <v>2800036.5107674836</v>
      </c>
      <c r="E162" s="1">
        <v>0</v>
      </c>
      <c r="F162" s="36">
        <v>0</v>
      </c>
      <c r="G162" s="36">
        <v>0</v>
      </c>
      <c r="H162" s="14">
        <v>0</v>
      </c>
      <c r="I162" s="14">
        <v>0</v>
      </c>
      <c r="J162" s="14">
        <v>0</v>
      </c>
      <c r="K162" s="76">
        <f t="shared" si="2"/>
        <v>2800036.5107674836</v>
      </c>
      <c r="M162" s="36"/>
    </row>
    <row r="163" spans="1:13" ht="12.75">
      <c r="A163" s="3" t="s">
        <v>214</v>
      </c>
      <c r="B163" t="s">
        <v>215</v>
      </c>
      <c r="C163" s="59" t="s">
        <v>461</v>
      </c>
      <c r="D163" s="49">
        <v>3203801.914879645</v>
      </c>
      <c r="E163" s="1">
        <v>0</v>
      </c>
      <c r="F163" s="36">
        <v>0</v>
      </c>
      <c r="G163" s="36">
        <v>0</v>
      </c>
      <c r="H163" s="14">
        <v>0</v>
      </c>
      <c r="I163" s="14">
        <v>0</v>
      </c>
      <c r="J163" s="14">
        <v>0</v>
      </c>
      <c r="K163" s="76">
        <f t="shared" si="2"/>
        <v>3203801.914879645</v>
      </c>
      <c r="M163" s="36"/>
    </row>
    <row r="164" spans="1:13" ht="12.75">
      <c r="A164" s="3" t="s">
        <v>216</v>
      </c>
      <c r="B164" t="s">
        <v>215</v>
      </c>
      <c r="C164" s="59" t="s">
        <v>462</v>
      </c>
      <c r="D164" s="49">
        <v>1287017.0586239642</v>
      </c>
      <c r="E164" s="1">
        <v>0</v>
      </c>
      <c r="F164" s="36">
        <v>0</v>
      </c>
      <c r="G164" s="36">
        <v>0</v>
      </c>
      <c r="H164" s="14">
        <v>0</v>
      </c>
      <c r="I164" s="14">
        <v>0</v>
      </c>
      <c r="J164" s="14">
        <v>0</v>
      </c>
      <c r="K164" s="76">
        <f t="shared" si="2"/>
        <v>1287017.0586239642</v>
      </c>
      <c r="M164" s="36"/>
    </row>
    <row r="165" spans="1:13" ht="12.75">
      <c r="A165" s="3" t="s">
        <v>217</v>
      </c>
      <c r="B165" t="s">
        <v>218</v>
      </c>
      <c r="C165" s="59" t="s">
        <v>463</v>
      </c>
      <c r="D165" s="49">
        <v>7085366.499553567</v>
      </c>
      <c r="E165" s="1">
        <v>0</v>
      </c>
      <c r="F165" s="36">
        <v>0</v>
      </c>
      <c r="G165" s="36">
        <v>0</v>
      </c>
      <c r="H165" s="14">
        <v>0</v>
      </c>
      <c r="I165" s="14">
        <v>0</v>
      </c>
      <c r="J165" s="14">
        <v>0</v>
      </c>
      <c r="K165" s="76">
        <f t="shared" si="2"/>
        <v>7085366.499553567</v>
      </c>
      <c r="M165" s="36"/>
    </row>
    <row r="166" spans="1:13" ht="12.75">
      <c r="A166" s="3" t="s">
        <v>219</v>
      </c>
      <c r="B166" t="s">
        <v>220</v>
      </c>
      <c r="C166" s="59" t="s">
        <v>464</v>
      </c>
      <c r="D166" s="49">
        <v>0</v>
      </c>
      <c r="E166" s="1">
        <v>0</v>
      </c>
      <c r="F166" s="36">
        <v>0</v>
      </c>
      <c r="G166" s="36">
        <v>0</v>
      </c>
      <c r="H166" s="14">
        <v>0</v>
      </c>
      <c r="I166" s="14">
        <v>0</v>
      </c>
      <c r="J166" s="14">
        <v>0</v>
      </c>
      <c r="K166" s="76">
        <f t="shared" si="2"/>
        <v>0</v>
      </c>
      <c r="M166" s="36"/>
    </row>
    <row r="167" spans="1:13" ht="12.75">
      <c r="A167" s="3" t="s">
        <v>221</v>
      </c>
      <c r="B167" t="s">
        <v>220</v>
      </c>
      <c r="C167" s="59" t="s">
        <v>465</v>
      </c>
      <c r="D167" s="49">
        <v>11196987.928882912</v>
      </c>
      <c r="E167" s="1">
        <v>124132.99999999999</v>
      </c>
      <c r="F167" s="36">
        <v>0</v>
      </c>
      <c r="G167" s="36">
        <v>0</v>
      </c>
      <c r="H167" s="14">
        <v>0</v>
      </c>
      <c r="I167" s="14">
        <v>0</v>
      </c>
      <c r="J167" s="14">
        <v>0</v>
      </c>
      <c r="K167" s="76">
        <f t="shared" si="2"/>
        <v>11321120.928882912</v>
      </c>
      <c r="M167" s="36"/>
    </row>
    <row r="168" spans="1:13" ht="12.75">
      <c r="A168" s="3" t="s">
        <v>222</v>
      </c>
      <c r="B168" t="s">
        <v>223</v>
      </c>
      <c r="C168" s="59" t="s">
        <v>466</v>
      </c>
      <c r="D168" s="49">
        <v>2638243.515255888</v>
      </c>
      <c r="E168" s="1">
        <v>0</v>
      </c>
      <c r="F168" s="36">
        <v>0</v>
      </c>
      <c r="G168" s="36">
        <v>0</v>
      </c>
      <c r="H168" s="14">
        <v>0</v>
      </c>
      <c r="I168" s="14">
        <v>0</v>
      </c>
      <c r="J168" s="14">
        <v>0</v>
      </c>
      <c r="K168" s="76">
        <f t="shared" si="2"/>
        <v>2638243.515255888</v>
      </c>
      <c r="M168" s="36"/>
    </row>
    <row r="169" spans="1:13" ht="12.75">
      <c r="A169" s="3" t="s">
        <v>224</v>
      </c>
      <c r="B169" t="s">
        <v>223</v>
      </c>
      <c r="C169" s="59" t="s">
        <v>467</v>
      </c>
      <c r="D169" s="49">
        <v>1134984.4836368882</v>
      </c>
      <c r="E169" s="1">
        <v>0</v>
      </c>
      <c r="F169" s="36">
        <v>0</v>
      </c>
      <c r="G169" s="36">
        <v>0</v>
      </c>
      <c r="H169" s="14">
        <v>0</v>
      </c>
      <c r="I169" s="14">
        <v>0</v>
      </c>
      <c r="J169" s="14">
        <v>0</v>
      </c>
      <c r="K169" s="76">
        <f t="shared" si="2"/>
        <v>1134984.4836368882</v>
      </c>
      <c r="M169" s="36"/>
    </row>
    <row r="170" spans="1:13" ht="12.75">
      <c r="A170" s="3" t="s">
        <v>225</v>
      </c>
      <c r="B170" t="s">
        <v>223</v>
      </c>
      <c r="C170" s="59" t="s">
        <v>468</v>
      </c>
      <c r="D170" s="49">
        <v>2276289.789969205</v>
      </c>
      <c r="E170" s="1">
        <v>0</v>
      </c>
      <c r="F170" s="36">
        <v>0</v>
      </c>
      <c r="G170" s="36">
        <v>0</v>
      </c>
      <c r="H170" s="14">
        <v>0.12</v>
      </c>
      <c r="I170" s="14">
        <v>0</v>
      </c>
      <c r="J170" s="14">
        <v>0</v>
      </c>
      <c r="K170" s="76">
        <f t="shared" si="2"/>
        <v>2276289.909969205</v>
      </c>
      <c r="M170" s="36"/>
    </row>
    <row r="171" spans="1:13" ht="12.75">
      <c r="A171" s="3" t="s">
        <v>226</v>
      </c>
      <c r="B171" t="s">
        <v>223</v>
      </c>
      <c r="C171" s="59" t="s">
        <v>469</v>
      </c>
      <c r="D171" s="49">
        <v>1452977.2324573575</v>
      </c>
      <c r="E171" s="1">
        <v>0</v>
      </c>
      <c r="F171" s="36">
        <v>0</v>
      </c>
      <c r="G171" s="36">
        <v>0</v>
      </c>
      <c r="H171" s="14">
        <v>0</v>
      </c>
      <c r="I171" s="14">
        <v>0</v>
      </c>
      <c r="J171" s="14">
        <v>0</v>
      </c>
      <c r="K171" s="76">
        <f t="shared" si="2"/>
        <v>1452977.2324573575</v>
      </c>
      <c r="M171" s="36"/>
    </row>
    <row r="172" spans="1:13" ht="12.75">
      <c r="A172" s="3" t="s">
        <v>227</v>
      </c>
      <c r="B172" t="s">
        <v>223</v>
      </c>
      <c r="C172" s="59" t="s">
        <v>470</v>
      </c>
      <c r="D172" s="49">
        <v>555092.3485325475</v>
      </c>
      <c r="E172" s="1">
        <v>0</v>
      </c>
      <c r="F172" s="36">
        <v>0</v>
      </c>
      <c r="G172" s="36">
        <v>0</v>
      </c>
      <c r="H172" s="14">
        <v>0</v>
      </c>
      <c r="I172" s="14">
        <v>0</v>
      </c>
      <c r="J172" s="14">
        <v>0</v>
      </c>
      <c r="K172" s="76">
        <f t="shared" si="2"/>
        <v>555092.3485325475</v>
      </c>
      <c r="M172" s="36"/>
    </row>
    <row r="173" spans="1:13" ht="12.75">
      <c r="A173" s="3" t="s">
        <v>228</v>
      </c>
      <c r="B173" t="s">
        <v>229</v>
      </c>
      <c r="C173" s="72" t="s">
        <v>495</v>
      </c>
      <c r="D173" s="49">
        <v>7817977.842156244</v>
      </c>
      <c r="E173" s="1">
        <v>0</v>
      </c>
      <c r="F173" s="36">
        <v>0</v>
      </c>
      <c r="G173" s="36">
        <v>0</v>
      </c>
      <c r="H173" s="14">
        <v>20.85298417508602</v>
      </c>
      <c r="I173" s="14">
        <v>0</v>
      </c>
      <c r="J173" s="14">
        <v>0</v>
      </c>
      <c r="K173" s="76">
        <f t="shared" si="2"/>
        <v>7817998.6951404195</v>
      </c>
      <c r="M173" s="36"/>
    </row>
    <row r="174" spans="1:13" ht="12.75">
      <c r="A174" s="3" t="s">
        <v>230</v>
      </c>
      <c r="B174" t="s">
        <v>229</v>
      </c>
      <c r="C174" s="59" t="s">
        <v>471</v>
      </c>
      <c r="D174" s="49">
        <v>5844090.518579465</v>
      </c>
      <c r="E174" s="1">
        <v>0</v>
      </c>
      <c r="F174" s="36">
        <v>0</v>
      </c>
      <c r="G174" s="36">
        <v>0</v>
      </c>
      <c r="H174" s="14">
        <v>0</v>
      </c>
      <c r="I174" s="14">
        <v>0</v>
      </c>
      <c r="J174" s="14">
        <v>0</v>
      </c>
      <c r="K174" s="76">
        <f t="shared" si="2"/>
        <v>5844090.518579465</v>
      </c>
      <c r="M174" s="36"/>
    </row>
    <row r="175" spans="1:13" ht="12.75">
      <c r="A175" s="3" t="s">
        <v>231</v>
      </c>
      <c r="B175" t="s">
        <v>229</v>
      </c>
      <c r="C175" s="59" t="s">
        <v>472</v>
      </c>
      <c r="D175" s="49">
        <v>4659900.618913724</v>
      </c>
      <c r="E175" s="1">
        <v>0</v>
      </c>
      <c r="F175" s="36">
        <v>0</v>
      </c>
      <c r="G175" s="36">
        <v>0</v>
      </c>
      <c r="H175" s="14">
        <v>0</v>
      </c>
      <c r="I175" s="14">
        <v>0</v>
      </c>
      <c r="J175" s="14">
        <v>0</v>
      </c>
      <c r="K175" s="76">
        <f t="shared" si="2"/>
        <v>4659900.618913724</v>
      </c>
      <c r="M175" s="36"/>
    </row>
    <row r="176" spans="1:13" ht="12.75">
      <c r="A176" s="3" t="s">
        <v>232</v>
      </c>
      <c r="B176" t="s">
        <v>229</v>
      </c>
      <c r="C176" s="59" t="s">
        <v>473</v>
      </c>
      <c r="D176" s="49">
        <v>20048681.925866444</v>
      </c>
      <c r="E176" s="49">
        <v>87325.99999999999</v>
      </c>
      <c r="F176" s="36">
        <v>1321927.54</v>
      </c>
      <c r="G176" s="36">
        <v>0</v>
      </c>
      <c r="H176" s="14">
        <v>1668.64</v>
      </c>
      <c r="I176" s="14">
        <v>0</v>
      </c>
      <c r="J176" s="14">
        <v>0</v>
      </c>
      <c r="K176" s="76">
        <f t="shared" si="2"/>
        <v>21459604.105866443</v>
      </c>
      <c r="M176" s="36"/>
    </row>
    <row r="177" spans="1:13" ht="12.75">
      <c r="A177" s="3" t="s">
        <v>233</v>
      </c>
      <c r="B177" t="s">
        <v>229</v>
      </c>
      <c r="C177" s="59" t="s">
        <v>474</v>
      </c>
      <c r="D177" s="49">
        <v>18504500.983748246</v>
      </c>
      <c r="E177" s="1">
        <v>0</v>
      </c>
      <c r="F177" s="36">
        <v>0</v>
      </c>
      <c r="G177" s="36">
        <v>0</v>
      </c>
      <c r="H177" s="14">
        <v>0</v>
      </c>
      <c r="I177" s="14">
        <v>0</v>
      </c>
      <c r="J177" s="14">
        <v>0</v>
      </c>
      <c r="K177" s="76">
        <f t="shared" si="2"/>
        <v>18504500.983748246</v>
      </c>
      <c r="M177" s="36"/>
    </row>
    <row r="178" spans="1:13" ht="12.75">
      <c r="A178" s="3" t="s">
        <v>234</v>
      </c>
      <c r="B178" t="s">
        <v>229</v>
      </c>
      <c r="C178" s="59" t="s">
        <v>475</v>
      </c>
      <c r="D178" s="49">
        <v>119683508.7532872</v>
      </c>
      <c r="E178" s="1">
        <v>117045</v>
      </c>
      <c r="F178" s="36">
        <v>5620910.599999999</v>
      </c>
      <c r="G178" s="36">
        <v>0</v>
      </c>
      <c r="H178" s="14">
        <v>0</v>
      </c>
      <c r="I178" s="14">
        <v>0</v>
      </c>
      <c r="J178" s="14">
        <v>0</v>
      </c>
      <c r="K178" s="76">
        <f t="shared" si="2"/>
        <v>125421464.35328719</v>
      </c>
      <c r="M178" s="36"/>
    </row>
    <row r="179" spans="1:13" ht="12.75">
      <c r="A179" s="3" t="s">
        <v>235</v>
      </c>
      <c r="B179" t="s">
        <v>229</v>
      </c>
      <c r="C179" s="59" t="s">
        <v>476</v>
      </c>
      <c r="D179" s="49">
        <v>639590.5</v>
      </c>
      <c r="E179" s="1">
        <v>0</v>
      </c>
      <c r="F179" s="36">
        <v>0</v>
      </c>
      <c r="G179" s="36">
        <v>0</v>
      </c>
      <c r="H179" s="14">
        <v>5.439389496576041</v>
      </c>
      <c r="I179" s="14">
        <v>-639590.5</v>
      </c>
      <c r="J179" s="14">
        <v>0</v>
      </c>
      <c r="K179" s="76">
        <f t="shared" si="2"/>
        <v>5.439389496576041</v>
      </c>
      <c r="M179" s="36"/>
    </row>
    <row r="180" spans="1:13" ht="12.75">
      <c r="A180" s="3" t="s">
        <v>236</v>
      </c>
      <c r="B180" t="s">
        <v>229</v>
      </c>
      <c r="C180" s="59" t="s">
        <v>477</v>
      </c>
      <c r="D180" s="49">
        <v>3778991.2499999995</v>
      </c>
      <c r="E180" s="1">
        <v>39487.200000000004</v>
      </c>
      <c r="F180" s="36">
        <v>0</v>
      </c>
      <c r="G180" s="36">
        <v>0</v>
      </c>
      <c r="H180" s="14">
        <v>0</v>
      </c>
      <c r="I180" s="14">
        <v>-837029.98</v>
      </c>
      <c r="J180" s="14">
        <v>0</v>
      </c>
      <c r="K180" s="76">
        <f t="shared" si="2"/>
        <v>2981448.4699999997</v>
      </c>
      <c r="M180" s="36"/>
    </row>
    <row r="181" spans="1:13" ht="12.75">
      <c r="A181" s="3" t="s">
        <v>237</v>
      </c>
      <c r="B181" t="s">
        <v>229</v>
      </c>
      <c r="C181" s="59" t="s">
        <v>478</v>
      </c>
      <c r="D181" s="49">
        <v>4498239.154902397</v>
      </c>
      <c r="E181" s="1">
        <v>0</v>
      </c>
      <c r="F181" s="36">
        <v>0</v>
      </c>
      <c r="G181" s="36">
        <v>0</v>
      </c>
      <c r="H181" s="14">
        <v>0</v>
      </c>
      <c r="I181" s="14">
        <v>0</v>
      </c>
      <c r="J181" s="14">
        <v>0</v>
      </c>
      <c r="K181" s="76">
        <f t="shared" si="2"/>
        <v>4498239.154902397</v>
      </c>
      <c r="M181" s="36"/>
    </row>
    <row r="182" spans="1:13" ht="12.75">
      <c r="A182" s="3" t="s">
        <v>238</v>
      </c>
      <c r="B182" t="s">
        <v>229</v>
      </c>
      <c r="C182" s="59" t="s">
        <v>479</v>
      </c>
      <c r="D182" s="49">
        <v>917756.048924734</v>
      </c>
      <c r="E182" s="1">
        <v>0</v>
      </c>
      <c r="F182" s="36">
        <v>0</v>
      </c>
      <c r="G182" s="36">
        <v>0</v>
      </c>
      <c r="H182" s="14">
        <v>0</v>
      </c>
      <c r="I182" s="14">
        <v>0</v>
      </c>
      <c r="J182" s="14">
        <v>0</v>
      </c>
      <c r="K182" s="76">
        <f t="shared" si="2"/>
        <v>917756.048924734</v>
      </c>
      <c r="M182" s="36"/>
    </row>
    <row r="183" spans="1:13" ht="12.75">
      <c r="A183" s="3" t="s">
        <v>239</v>
      </c>
      <c r="B183" t="s">
        <v>229</v>
      </c>
      <c r="C183" s="59" t="s">
        <v>480</v>
      </c>
      <c r="D183" s="49">
        <v>554878.65</v>
      </c>
      <c r="E183" s="1">
        <v>0</v>
      </c>
      <c r="F183" s="36">
        <v>0</v>
      </c>
      <c r="G183" s="36">
        <v>0</v>
      </c>
      <c r="H183" s="14">
        <v>0</v>
      </c>
      <c r="I183" s="14">
        <v>-261042.1</v>
      </c>
      <c r="J183" s="14">
        <v>0</v>
      </c>
      <c r="K183" s="76">
        <f t="shared" si="2"/>
        <v>293836.55000000005</v>
      </c>
      <c r="M183" s="36"/>
    </row>
    <row r="184" spans="1:13" ht="12.75">
      <c r="A184" s="3" t="s">
        <v>240</v>
      </c>
      <c r="B184" t="s">
        <v>229</v>
      </c>
      <c r="C184" s="59" t="s">
        <v>481</v>
      </c>
      <c r="D184" s="49">
        <v>64006.25</v>
      </c>
      <c r="E184" s="1">
        <v>0</v>
      </c>
      <c r="F184" s="36">
        <v>0</v>
      </c>
      <c r="G184" s="36">
        <v>0</v>
      </c>
      <c r="H184" s="14">
        <v>0</v>
      </c>
      <c r="I184" s="14">
        <v>-64006.25</v>
      </c>
      <c r="J184" s="14">
        <v>0</v>
      </c>
      <c r="K184" s="76">
        <f t="shared" si="2"/>
        <v>0</v>
      </c>
      <c r="M184" s="36"/>
    </row>
    <row r="185" spans="1:13" ht="12.75">
      <c r="A185" s="3">
        <v>3200</v>
      </c>
      <c r="B185" t="s">
        <v>241</v>
      </c>
      <c r="C185" s="59" t="s">
        <v>242</v>
      </c>
      <c r="D185" s="49">
        <v>4935864.65648323</v>
      </c>
      <c r="E185" s="1">
        <v>0</v>
      </c>
      <c r="F185" s="36">
        <v>0</v>
      </c>
      <c r="G185" s="36">
        <v>0</v>
      </c>
      <c r="H185" s="14">
        <v>0</v>
      </c>
      <c r="I185" s="14">
        <v>0</v>
      </c>
      <c r="J185" s="14">
        <v>0</v>
      </c>
      <c r="K185" s="76">
        <f t="shared" si="2"/>
        <v>4935864.65648323</v>
      </c>
      <c r="M185" s="36"/>
    </row>
    <row r="186" spans="1:13" ht="12.75">
      <c r="A186" s="3">
        <v>3210</v>
      </c>
      <c r="B186" t="s">
        <v>241</v>
      </c>
      <c r="C186" s="59" t="s">
        <v>243</v>
      </c>
      <c r="D186" s="49">
        <v>4252750.321874229</v>
      </c>
      <c r="E186" s="1">
        <v>0</v>
      </c>
      <c r="F186" s="36">
        <v>0</v>
      </c>
      <c r="G186" s="36">
        <v>0</v>
      </c>
      <c r="H186" s="14">
        <v>0</v>
      </c>
      <c r="I186" s="14">
        <v>0</v>
      </c>
      <c r="J186" s="14">
        <v>0</v>
      </c>
      <c r="K186" s="76">
        <f t="shared" si="2"/>
        <v>4252750.321874229</v>
      </c>
      <c r="M186" s="36"/>
    </row>
    <row r="187" spans="1:13" ht="12.75">
      <c r="A187" s="3">
        <v>3220</v>
      </c>
      <c r="B187" t="s">
        <v>241</v>
      </c>
      <c r="C187" s="59" t="s">
        <v>244</v>
      </c>
      <c r="D187" s="49">
        <v>2188287.1903909743</v>
      </c>
      <c r="E187" s="1">
        <v>0</v>
      </c>
      <c r="F187" s="36">
        <v>0</v>
      </c>
      <c r="G187" s="36">
        <v>0</v>
      </c>
      <c r="H187" s="14">
        <v>0</v>
      </c>
      <c r="I187" s="14">
        <v>0</v>
      </c>
      <c r="J187" s="14">
        <v>0</v>
      </c>
      <c r="K187" s="76">
        <f t="shared" si="2"/>
        <v>2188287.1903909743</v>
      </c>
      <c r="M187" s="36"/>
    </row>
    <row r="188" spans="1:13" ht="12.75">
      <c r="A188" s="3">
        <v>3230</v>
      </c>
      <c r="B188" t="s">
        <v>241</v>
      </c>
      <c r="C188" s="59" t="s">
        <v>245</v>
      </c>
      <c r="D188" s="49">
        <v>685235.4355832135</v>
      </c>
      <c r="E188" s="1">
        <v>0</v>
      </c>
      <c r="F188" s="36">
        <v>0</v>
      </c>
      <c r="G188" s="36">
        <v>0</v>
      </c>
      <c r="H188" s="14">
        <v>0</v>
      </c>
      <c r="I188" s="14">
        <v>0</v>
      </c>
      <c r="J188" s="14">
        <v>0</v>
      </c>
      <c r="K188" s="76">
        <f t="shared" si="2"/>
        <v>685235.4355832135</v>
      </c>
      <c r="M188" s="36"/>
    </row>
    <row r="189" spans="1:13" ht="12.75">
      <c r="A189" s="3">
        <v>8001</v>
      </c>
      <c r="B189" t="s">
        <v>303</v>
      </c>
      <c r="C189" t="s">
        <v>304</v>
      </c>
      <c r="D189" s="49">
        <v>118509147.21</v>
      </c>
      <c r="E189" s="49">
        <v>0</v>
      </c>
      <c r="F189" s="36">
        <v>14572723.57</v>
      </c>
      <c r="G189" s="37">
        <v>4079120.86</v>
      </c>
      <c r="H189" s="14">
        <v>0</v>
      </c>
      <c r="I189" s="14">
        <v>0</v>
      </c>
      <c r="J189" s="14">
        <v>0</v>
      </c>
      <c r="K189" s="76">
        <f t="shared" si="2"/>
        <v>137160991.64000002</v>
      </c>
      <c r="M189" s="36"/>
    </row>
    <row r="190" spans="1:13" ht="12.75">
      <c r="A190" s="108">
        <v>8041</v>
      </c>
      <c r="B190" s="3">
        <v>8041</v>
      </c>
      <c r="C190" s="108" t="s">
        <v>523</v>
      </c>
      <c r="D190" s="49">
        <v>0</v>
      </c>
      <c r="E190" s="49">
        <v>0</v>
      </c>
      <c r="F190" s="49">
        <v>0</v>
      </c>
      <c r="G190" s="49">
        <v>0</v>
      </c>
      <c r="H190" s="14">
        <v>0</v>
      </c>
      <c r="I190" s="14">
        <v>0</v>
      </c>
      <c r="J190" s="14">
        <v>0</v>
      </c>
      <c r="K190" s="76">
        <f t="shared" si="2"/>
        <v>0</v>
      </c>
      <c r="M190" s="36"/>
    </row>
    <row r="191" spans="1:13" ht="12.75">
      <c r="A191" s="108">
        <v>8042</v>
      </c>
      <c r="B191" s="3">
        <v>8042</v>
      </c>
      <c r="C191" s="108" t="s">
        <v>524</v>
      </c>
      <c r="D191" s="49">
        <v>0</v>
      </c>
      <c r="E191" s="49">
        <v>0</v>
      </c>
      <c r="F191" s="49">
        <v>0</v>
      </c>
      <c r="G191" s="49">
        <v>0</v>
      </c>
      <c r="H191" s="14">
        <v>0</v>
      </c>
      <c r="I191" s="14">
        <v>0</v>
      </c>
      <c r="J191" s="14">
        <v>0</v>
      </c>
      <c r="K191" s="76">
        <f t="shared" si="2"/>
        <v>0</v>
      </c>
      <c r="M191" s="36"/>
    </row>
    <row r="192" spans="1:13" ht="12.75">
      <c r="A192" s="108">
        <v>9025</v>
      </c>
      <c r="B192" s="3">
        <v>9025</v>
      </c>
      <c r="C192" s="108" t="s">
        <v>247</v>
      </c>
      <c r="D192" s="49">
        <v>0</v>
      </c>
      <c r="E192" s="49">
        <v>0</v>
      </c>
      <c r="F192" s="49">
        <v>0</v>
      </c>
      <c r="G192" s="49">
        <v>0</v>
      </c>
      <c r="H192" s="14">
        <v>0</v>
      </c>
      <c r="I192" s="14">
        <v>0</v>
      </c>
      <c r="J192" s="14">
        <v>0</v>
      </c>
      <c r="K192" s="76">
        <f t="shared" si="2"/>
        <v>0</v>
      </c>
      <c r="M192" s="36"/>
    </row>
    <row r="193" spans="1:13" ht="12.75">
      <c r="A193" s="3">
        <v>9030</v>
      </c>
      <c r="B193" s="3">
        <v>9030</v>
      </c>
      <c r="C193" s="3" t="s">
        <v>248</v>
      </c>
      <c r="D193" s="49">
        <v>0</v>
      </c>
      <c r="E193" s="40">
        <v>0</v>
      </c>
      <c r="F193" s="36">
        <v>0</v>
      </c>
      <c r="G193" s="36">
        <v>0</v>
      </c>
      <c r="H193" s="14">
        <v>0</v>
      </c>
      <c r="I193" s="14">
        <v>0</v>
      </c>
      <c r="J193" s="14">
        <v>0</v>
      </c>
      <c r="K193" s="76">
        <f t="shared" si="2"/>
        <v>0</v>
      </c>
      <c r="M193" s="36"/>
    </row>
    <row r="194" spans="1:13" ht="12.75">
      <c r="A194" s="3">
        <v>9035</v>
      </c>
      <c r="B194" s="3">
        <v>9035</v>
      </c>
      <c r="C194" s="3" t="s">
        <v>249</v>
      </c>
      <c r="D194" s="49">
        <v>0</v>
      </c>
      <c r="E194" s="26">
        <v>0</v>
      </c>
      <c r="F194" s="36">
        <v>0</v>
      </c>
      <c r="G194" s="36">
        <v>0</v>
      </c>
      <c r="H194" s="14">
        <v>0</v>
      </c>
      <c r="I194" s="14">
        <v>0</v>
      </c>
      <c r="J194" s="14">
        <v>0</v>
      </c>
      <c r="K194" s="76">
        <f t="shared" si="2"/>
        <v>0</v>
      </c>
      <c r="M194" s="36"/>
    </row>
    <row r="195" spans="1:13" ht="12.75">
      <c r="A195" s="3">
        <v>9040</v>
      </c>
      <c r="B195" s="3">
        <v>9040</v>
      </c>
      <c r="C195" s="3" t="s">
        <v>250</v>
      </c>
      <c r="D195" s="49">
        <v>0</v>
      </c>
      <c r="E195" s="26">
        <v>0</v>
      </c>
      <c r="F195" s="36">
        <v>0</v>
      </c>
      <c r="G195" s="36">
        <v>0</v>
      </c>
      <c r="H195" s="14">
        <v>0</v>
      </c>
      <c r="I195" s="14">
        <v>0</v>
      </c>
      <c r="J195" s="14">
        <v>0</v>
      </c>
      <c r="K195" s="76">
        <f t="shared" si="2"/>
        <v>0</v>
      </c>
      <c r="M195" s="36"/>
    </row>
    <row r="196" spans="1:13" ht="12.75">
      <c r="A196" s="3">
        <v>9045</v>
      </c>
      <c r="B196" s="3">
        <v>9045</v>
      </c>
      <c r="C196" s="3" t="s">
        <v>251</v>
      </c>
      <c r="D196" s="49">
        <v>0</v>
      </c>
      <c r="E196" s="26">
        <v>0</v>
      </c>
      <c r="F196" s="36">
        <v>0</v>
      </c>
      <c r="G196" s="36">
        <v>0</v>
      </c>
      <c r="H196" s="14">
        <v>0</v>
      </c>
      <c r="I196" s="14">
        <v>0</v>
      </c>
      <c r="J196" s="14">
        <v>0</v>
      </c>
      <c r="K196" s="76">
        <f t="shared" si="2"/>
        <v>0</v>
      </c>
      <c r="M196" s="36"/>
    </row>
    <row r="197" spans="1:13" ht="12.75">
      <c r="A197" s="3">
        <v>9050</v>
      </c>
      <c r="B197" s="3">
        <v>9050</v>
      </c>
      <c r="C197" s="3" t="s">
        <v>252</v>
      </c>
      <c r="D197" s="49">
        <v>0</v>
      </c>
      <c r="E197" s="26">
        <v>0</v>
      </c>
      <c r="F197" s="36">
        <v>0</v>
      </c>
      <c r="G197" s="36">
        <v>0</v>
      </c>
      <c r="H197" s="14">
        <v>0</v>
      </c>
      <c r="I197" s="14">
        <v>0</v>
      </c>
      <c r="J197" s="14">
        <v>0</v>
      </c>
      <c r="K197" s="76">
        <f t="shared" si="2"/>
        <v>0</v>
      </c>
      <c r="M197" s="36"/>
    </row>
    <row r="198" spans="1:13" ht="12.75">
      <c r="A198" s="3">
        <v>9055</v>
      </c>
      <c r="B198" s="3">
        <v>9055</v>
      </c>
      <c r="C198" s="3" t="s">
        <v>253</v>
      </c>
      <c r="D198" s="49">
        <v>0</v>
      </c>
      <c r="E198" s="26">
        <v>0</v>
      </c>
      <c r="F198" s="36">
        <v>0</v>
      </c>
      <c r="G198" s="36">
        <v>0</v>
      </c>
      <c r="H198" s="14">
        <v>0</v>
      </c>
      <c r="I198" s="14">
        <v>0</v>
      </c>
      <c r="J198" s="14">
        <v>0</v>
      </c>
      <c r="K198" s="76">
        <f t="shared" si="2"/>
        <v>0</v>
      </c>
      <c r="M198" s="36"/>
    </row>
    <row r="199" spans="1:13" ht="12.75">
      <c r="A199" s="3">
        <v>9060</v>
      </c>
      <c r="B199" s="3">
        <v>9060</v>
      </c>
      <c r="C199" s="3" t="s">
        <v>254</v>
      </c>
      <c r="D199" s="49">
        <v>0</v>
      </c>
      <c r="E199" s="26">
        <v>0</v>
      </c>
      <c r="F199" s="36">
        <v>0</v>
      </c>
      <c r="G199" s="36">
        <v>0</v>
      </c>
      <c r="H199" s="14">
        <v>0</v>
      </c>
      <c r="I199" s="14">
        <v>0</v>
      </c>
      <c r="J199" s="14">
        <v>0</v>
      </c>
      <c r="K199" s="76">
        <f t="shared" si="2"/>
        <v>0</v>
      </c>
      <c r="M199" s="36"/>
    </row>
    <row r="200" spans="1:13" ht="12.75">
      <c r="A200" s="3">
        <v>9075</v>
      </c>
      <c r="B200" s="3">
        <v>9075</v>
      </c>
      <c r="C200" s="3" t="s">
        <v>255</v>
      </c>
      <c r="D200" s="49">
        <v>0</v>
      </c>
      <c r="E200" s="26">
        <v>0</v>
      </c>
      <c r="F200" s="36">
        <v>0</v>
      </c>
      <c r="G200" s="36">
        <v>0</v>
      </c>
      <c r="H200" s="14">
        <v>0</v>
      </c>
      <c r="I200" s="14">
        <v>0</v>
      </c>
      <c r="J200" s="14">
        <v>0</v>
      </c>
      <c r="K200" s="76">
        <f t="shared" si="2"/>
        <v>0</v>
      </c>
      <c r="M200" s="36"/>
    </row>
    <row r="201" spans="1:13" ht="12.75">
      <c r="A201" s="3">
        <v>9095</v>
      </c>
      <c r="B201" s="3">
        <v>9095</v>
      </c>
      <c r="C201" s="3" t="s">
        <v>256</v>
      </c>
      <c r="D201" s="49">
        <v>0</v>
      </c>
      <c r="E201" s="26">
        <v>0</v>
      </c>
      <c r="F201" s="36">
        <v>0</v>
      </c>
      <c r="G201" s="36">
        <v>0</v>
      </c>
      <c r="H201" s="14">
        <v>0</v>
      </c>
      <c r="I201" s="14">
        <v>0</v>
      </c>
      <c r="J201" s="14">
        <v>0</v>
      </c>
      <c r="K201" s="76">
        <f t="shared" si="2"/>
        <v>0</v>
      </c>
      <c r="M201" s="36"/>
    </row>
    <row r="202" spans="1:13" ht="12.75">
      <c r="A202" s="3">
        <v>9120</v>
      </c>
      <c r="B202" s="3">
        <v>9120</v>
      </c>
      <c r="C202" s="3" t="s">
        <v>257</v>
      </c>
      <c r="D202" s="49">
        <v>0</v>
      </c>
      <c r="E202" s="26">
        <v>0</v>
      </c>
      <c r="F202" s="36">
        <v>0</v>
      </c>
      <c r="G202" s="36">
        <v>0</v>
      </c>
      <c r="H202" s="14">
        <v>0</v>
      </c>
      <c r="I202" s="14">
        <v>0</v>
      </c>
      <c r="J202" s="14">
        <v>0</v>
      </c>
      <c r="K202" s="76">
        <f t="shared" si="2"/>
        <v>0</v>
      </c>
      <c r="M202" s="36"/>
    </row>
    <row r="203" spans="1:13" ht="12.75">
      <c r="A203" s="3">
        <v>9125</v>
      </c>
      <c r="B203" s="3">
        <v>9125</v>
      </c>
      <c r="C203" s="3" t="s">
        <v>258</v>
      </c>
      <c r="D203" s="49">
        <v>0</v>
      </c>
      <c r="E203" s="26">
        <v>0</v>
      </c>
      <c r="F203" s="36">
        <v>0</v>
      </c>
      <c r="G203" s="36">
        <v>0</v>
      </c>
      <c r="H203" s="14">
        <v>0</v>
      </c>
      <c r="I203" s="14">
        <v>0</v>
      </c>
      <c r="J203" s="14">
        <v>0</v>
      </c>
      <c r="K203" s="76">
        <f t="shared" si="2"/>
        <v>0</v>
      </c>
      <c r="M203" s="36"/>
    </row>
    <row r="204" spans="1:13" ht="12.75">
      <c r="A204" s="3">
        <v>9130</v>
      </c>
      <c r="B204" s="3">
        <v>9130</v>
      </c>
      <c r="C204" s="3" t="s">
        <v>482</v>
      </c>
      <c r="D204" s="49">
        <v>0</v>
      </c>
      <c r="E204" s="26">
        <v>0</v>
      </c>
      <c r="F204" s="36">
        <v>0</v>
      </c>
      <c r="G204" s="36">
        <v>0</v>
      </c>
      <c r="H204" s="14">
        <v>0</v>
      </c>
      <c r="I204" s="14">
        <v>0</v>
      </c>
      <c r="J204" s="14">
        <v>0</v>
      </c>
      <c r="K204" s="76">
        <f aca="true" t="shared" si="3" ref="K204:K212">SUM(D204:J204)</f>
        <v>0</v>
      </c>
      <c r="M204" s="36"/>
    </row>
    <row r="205" spans="1:13" ht="12.75">
      <c r="A205" s="3">
        <v>9135</v>
      </c>
      <c r="B205" s="3">
        <v>9135</v>
      </c>
      <c r="C205" s="3" t="s">
        <v>483</v>
      </c>
      <c r="D205" s="49">
        <v>0</v>
      </c>
      <c r="E205" s="26">
        <v>0</v>
      </c>
      <c r="F205" s="36">
        <v>0</v>
      </c>
      <c r="G205" s="36">
        <v>0</v>
      </c>
      <c r="H205" s="14">
        <v>0</v>
      </c>
      <c r="I205" s="14">
        <v>0</v>
      </c>
      <c r="J205" s="14">
        <v>0</v>
      </c>
      <c r="K205" s="76">
        <f t="shared" si="3"/>
        <v>0</v>
      </c>
      <c r="M205" s="36"/>
    </row>
    <row r="206" spans="1:13" ht="12.75">
      <c r="A206" s="3">
        <v>9140</v>
      </c>
      <c r="B206" s="3">
        <v>9140</v>
      </c>
      <c r="C206" s="3" t="s">
        <v>259</v>
      </c>
      <c r="D206" s="49">
        <v>0</v>
      </c>
      <c r="E206" s="26">
        <v>0</v>
      </c>
      <c r="F206" s="36">
        <v>0</v>
      </c>
      <c r="G206" s="36">
        <v>0</v>
      </c>
      <c r="H206" s="14">
        <v>0</v>
      </c>
      <c r="I206" s="14">
        <v>0</v>
      </c>
      <c r="J206" s="14">
        <v>0</v>
      </c>
      <c r="K206" s="76">
        <f t="shared" si="3"/>
        <v>0</v>
      </c>
      <c r="M206" s="36"/>
    </row>
    <row r="207" spans="1:13" ht="12.75">
      <c r="A207" s="3">
        <v>9145</v>
      </c>
      <c r="B207" s="3">
        <v>9145</v>
      </c>
      <c r="C207" s="3" t="s">
        <v>260</v>
      </c>
      <c r="D207" s="49">
        <v>0</v>
      </c>
      <c r="E207" s="26">
        <v>0</v>
      </c>
      <c r="F207" s="36">
        <v>0</v>
      </c>
      <c r="G207" s="36">
        <v>0</v>
      </c>
      <c r="H207" s="14">
        <v>0</v>
      </c>
      <c r="I207" s="14">
        <v>0</v>
      </c>
      <c r="J207" s="14">
        <v>0</v>
      </c>
      <c r="K207" s="76">
        <f t="shared" si="3"/>
        <v>0</v>
      </c>
      <c r="M207" s="36"/>
    </row>
    <row r="208" spans="1:13" ht="12.75">
      <c r="A208" s="3">
        <v>9150</v>
      </c>
      <c r="B208" s="3">
        <v>9150</v>
      </c>
      <c r="C208" s="3" t="s">
        <v>261</v>
      </c>
      <c r="D208" s="49">
        <v>0</v>
      </c>
      <c r="E208" s="26">
        <v>0</v>
      </c>
      <c r="F208" s="36">
        <v>0</v>
      </c>
      <c r="G208" s="36">
        <v>0</v>
      </c>
      <c r="H208" s="14">
        <v>0</v>
      </c>
      <c r="I208" s="14">
        <v>0</v>
      </c>
      <c r="J208" s="14">
        <v>0</v>
      </c>
      <c r="K208" s="76">
        <f t="shared" si="3"/>
        <v>0</v>
      </c>
      <c r="M208" s="36"/>
    </row>
    <row r="209" spans="1:13" ht="12.75">
      <c r="A209" s="3">
        <v>9160</v>
      </c>
      <c r="B209" s="3">
        <v>9160</v>
      </c>
      <c r="C209" s="3" t="s">
        <v>262</v>
      </c>
      <c r="D209" s="49">
        <v>0</v>
      </c>
      <c r="E209" s="26">
        <v>0</v>
      </c>
      <c r="F209" s="36">
        <v>0</v>
      </c>
      <c r="G209" s="36">
        <v>0</v>
      </c>
      <c r="H209" s="14">
        <v>0</v>
      </c>
      <c r="I209" s="14">
        <v>0</v>
      </c>
      <c r="J209" s="14">
        <v>0</v>
      </c>
      <c r="K209" s="76">
        <f t="shared" si="3"/>
        <v>0</v>
      </c>
      <c r="M209" s="36"/>
    </row>
    <row r="210" spans="1:13" ht="12.75">
      <c r="A210" s="3">
        <v>9165</v>
      </c>
      <c r="B210" s="3">
        <v>9165</v>
      </c>
      <c r="C210" s="3" t="s">
        <v>484</v>
      </c>
      <c r="D210" s="49">
        <v>0</v>
      </c>
      <c r="E210" s="26">
        <v>0</v>
      </c>
      <c r="F210" s="36">
        <v>0</v>
      </c>
      <c r="G210" s="36">
        <v>0</v>
      </c>
      <c r="H210" s="14">
        <v>0</v>
      </c>
      <c r="I210" s="14">
        <v>0</v>
      </c>
      <c r="J210" s="14">
        <v>0</v>
      </c>
      <c r="K210" s="76">
        <f t="shared" si="3"/>
        <v>0</v>
      </c>
      <c r="M210" s="36"/>
    </row>
    <row r="211" spans="1:13" ht="12.75">
      <c r="A211" s="3">
        <v>9170</v>
      </c>
      <c r="B211" s="3">
        <v>9170</v>
      </c>
      <c r="C211" s="3" t="s">
        <v>537</v>
      </c>
      <c r="D211" s="49">
        <v>0</v>
      </c>
      <c r="E211" s="49">
        <v>0</v>
      </c>
      <c r="F211" s="49">
        <v>0</v>
      </c>
      <c r="G211" s="49">
        <v>0</v>
      </c>
      <c r="H211" s="14">
        <v>0</v>
      </c>
      <c r="I211" s="14">
        <v>0</v>
      </c>
      <c r="J211" s="14">
        <v>0</v>
      </c>
      <c r="K211" s="76">
        <f t="shared" si="3"/>
        <v>0</v>
      </c>
      <c r="M211" s="36"/>
    </row>
    <row r="212" spans="1:13" ht="12.75">
      <c r="A212" s="3">
        <v>9175</v>
      </c>
      <c r="B212" s="3">
        <v>9175</v>
      </c>
      <c r="C212" s="3" t="s">
        <v>538</v>
      </c>
      <c r="D212" s="49">
        <v>0</v>
      </c>
      <c r="E212" s="49">
        <v>0</v>
      </c>
      <c r="F212" s="49">
        <v>0</v>
      </c>
      <c r="G212" s="49">
        <v>0</v>
      </c>
      <c r="H212" s="14">
        <v>0</v>
      </c>
      <c r="I212" s="14">
        <v>0</v>
      </c>
      <c r="J212" s="14">
        <v>0</v>
      </c>
      <c r="K212" s="76">
        <f t="shared" si="3"/>
        <v>0</v>
      </c>
      <c r="M212" s="36"/>
    </row>
    <row r="213" spans="2:11" ht="12.75">
      <c r="B213" s="33"/>
      <c r="D213" s="49"/>
      <c r="E213" s="26"/>
      <c r="G213" s="36"/>
      <c r="H213" s="36"/>
      <c r="K213" s="76"/>
    </row>
    <row r="214" spans="2:11" ht="12.75">
      <c r="B214" s="32" t="s">
        <v>288</v>
      </c>
      <c r="D214" s="36">
        <f aca="true" t="shared" si="4" ref="D214:K214">SUM(D11:D213)</f>
        <v>4383670100.316271</v>
      </c>
      <c r="E214" s="102">
        <f t="shared" si="4"/>
        <v>4051823.6199999996</v>
      </c>
      <c r="F214" s="102">
        <f t="shared" si="4"/>
        <v>75429125.02000001</v>
      </c>
      <c r="G214" s="102">
        <f t="shared" si="4"/>
        <v>4079120.86</v>
      </c>
      <c r="H214" s="102">
        <f t="shared" si="4"/>
        <v>720492.4111988102</v>
      </c>
      <c r="I214" s="103">
        <f t="shared" si="4"/>
        <v>-1801671.32</v>
      </c>
      <c r="J214" s="103">
        <f t="shared" si="4"/>
        <v>0</v>
      </c>
      <c r="K214" s="91">
        <f t="shared" si="4"/>
        <v>4466148990.90747</v>
      </c>
    </row>
    <row r="215" spans="4:5" ht="12.75">
      <c r="D215" s="36"/>
      <c r="E215" s="26"/>
    </row>
    <row r="216" spans="4:11" ht="12.75">
      <c r="D216" s="36"/>
      <c r="G216" s="36"/>
      <c r="H216" s="36"/>
      <c r="K216" s="11"/>
    </row>
    <row r="217" spans="4:11" ht="12.75">
      <c r="D217" s="1"/>
      <c r="E217" s="26"/>
      <c r="F217" s="26"/>
      <c r="G217" s="36"/>
      <c r="K217" s="37"/>
    </row>
    <row r="218" spans="4:11" ht="12.75">
      <c r="D218" s="36"/>
      <c r="G218" s="36"/>
      <c r="K218" s="37"/>
    </row>
    <row r="219" spans="4:11" ht="12.75">
      <c r="D219" s="50"/>
      <c r="E219" s="26"/>
      <c r="G219" s="36"/>
      <c r="H219" s="36"/>
      <c r="K219" s="37"/>
    </row>
    <row r="220" spans="4:11" ht="12.75">
      <c r="D220" s="36"/>
      <c r="H220" s="36"/>
      <c r="K220" s="74"/>
    </row>
    <row r="221" ht="12.75">
      <c r="K221" s="75"/>
    </row>
    <row r="223" ht="12.75">
      <c r="K223" s="37"/>
    </row>
    <row r="224" ht="12.75">
      <c r="K224" s="37"/>
    </row>
    <row r="225" ht="12.75">
      <c r="K225" s="37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9" r:id="rId1"/>
  <headerFooter alignWithMargins="0">
    <oddHeader>&amp;CState Share (State Equalization) Figures
FY 2018-19:  Data Pipeline</oddHeader>
    <oddFooter>&amp;LCDE, Public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A3" sqref="A3"/>
    </sheetView>
  </sheetViews>
  <sheetFormatPr defaultColWidth="9.140625" defaultRowHeight="12.75"/>
  <cols>
    <col min="2" max="2" width="17.57421875" style="0" customWidth="1"/>
    <col min="3" max="3" width="30.7109375" style="0" bestFit="1" customWidth="1"/>
    <col min="4" max="4" width="7.7109375" style="0" customWidth="1"/>
    <col min="5" max="5" width="18.57421875" style="0" customWidth="1"/>
    <col min="8" max="8" width="38.00390625" style="0" bestFit="1" customWidth="1"/>
    <col min="9" max="9" width="12.8515625" style="51" bestFit="1" customWidth="1"/>
  </cols>
  <sheetData>
    <row r="1" spans="1:5" ht="38.25">
      <c r="A1" t="s">
        <v>502</v>
      </c>
      <c r="B1" s="82" t="s">
        <v>498</v>
      </c>
      <c r="C1" s="82" t="s">
        <v>499</v>
      </c>
      <c r="E1" s="114" t="s">
        <v>528</v>
      </c>
    </row>
    <row r="2" spans="1:5" ht="12.75">
      <c r="A2" s="84"/>
      <c r="B2" s="84"/>
      <c r="C2" s="84"/>
      <c r="D2" s="81"/>
      <c r="E2" s="83" t="s">
        <v>501</v>
      </c>
    </row>
    <row r="3" ht="12.75">
      <c r="E3" s="77"/>
    </row>
    <row r="4" spans="1:5" ht="12.75">
      <c r="A4" s="3" t="s">
        <v>5</v>
      </c>
      <c r="B4" t="s">
        <v>6</v>
      </c>
      <c r="C4" t="s">
        <v>309</v>
      </c>
      <c r="E4" s="77">
        <v>101685.13</v>
      </c>
    </row>
    <row r="5" spans="1:5" ht="12.75">
      <c r="A5" s="3" t="s">
        <v>7</v>
      </c>
      <c r="B5" t="s">
        <v>6</v>
      </c>
      <c r="C5" t="s">
        <v>310</v>
      </c>
      <c r="E5" s="77">
        <v>200107.79</v>
      </c>
    </row>
    <row r="6" spans="1:5" ht="12.75">
      <c r="A6" s="3" t="s">
        <v>8</v>
      </c>
      <c r="B6" t="s">
        <v>6</v>
      </c>
      <c r="C6" t="s">
        <v>311</v>
      </c>
      <c r="E6" s="77">
        <v>393171.11</v>
      </c>
    </row>
    <row r="7" spans="1:5" ht="12.75">
      <c r="A7" s="3" t="s">
        <v>9</v>
      </c>
      <c r="B7" t="s">
        <v>6</v>
      </c>
      <c r="C7" t="s">
        <v>312</v>
      </c>
      <c r="E7" s="77">
        <v>197609.42</v>
      </c>
    </row>
    <row r="8" spans="1:5" ht="12.75">
      <c r="A8" s="3" t="s">
        <v>10</v>
      </c>
      <c r="B8" t="s">
        <v>6</v>
      </c>
      <c r="C8" t="s">
        <v>313</v>
      </c>
      <c r="E8" s="77">
        <v>0</v>
      </c>
    </row>
    <row r="9" spans="1:5" ht="12.75">
      <c r="A9" s="3" t="s">
        <v>11</v>
      </c>
      <c r="B9" t="s">
        <v>6</v>
      </c>
      <c r="C9" t="s">
        <v>314</v>
      </c>
      <c r="E9" s="77">
        <v>0</v>
      </c>
    </row>
    <row r="10" spans="1:5" ht="12.75">
      <c r="A10" s="3" t="s">
        <v>12</v>
      </c>
      <c r="B10" t="s">
        <v>6</v>
      </c>
      <c r="C10" t="s">
        <v>315</v>
      </c>
      <c r="E10" s="77">
        <v>125728.43</v>
      </c>
    </row>
    <row r="11" spans="1:5" ht="12.75">
      <c r="A11" s="3" t="s">
        <v>13</v>
      </c>
      <c r="B11" t="s">
        <v>14</v>
      </c>
      <c r="C11" t="s">
        <v>316</v>
      </c>
      <c r="E11" s="77">
        <v>116375.58</v>
      </c>
    </row>
    <row r="12" spans="1:5" ht="12.75">
      <c r="A12" s="3" t="s">
        <v>15</v>
      </c>
      <c r="B12" t="s">
        <v>14</v>
      </c>
      <c r="C12" t="s">
        <v>317</v>
      </c>
      <c r="E12" s="77">
        <v>0</v>
      </c>
    </row>
    <row r="13" spans="1:5" ht="12.75">
      <c r="A13" s="3" t="s">
        <v>16</v>
      </c>
      <c r="B13" t="s">
        <v>17</v>
      </c>
      <c r="C13" t="s">
        <v>318</v>
      </c>
      <c r="E13" s="77">
        <v>211872.94</v>
      </c>
    </row>
    <row r="14" spans="1:5" ht="12.75">
      <c r="A14" s="3" t="s">
        <v>18</v>
      </c>
      <c r="B14" t="s">
        <v>17</v>
      </c>
      <c r="C14" t="s">
        <v>319</v>
      </c>
      <c r="E14" s="77">
        <v>297176.68</v>
      </c>
    </row>
    <row r="15" spans="1:5" ht="12.75">
      <c r="A15" s="3" t="s">
        <v>19</v>
      </c>
      <c r="B15" t="s">
        <v>17</v>
      </c>
      <c r="C15" t="s">
        <v>320</v>
      </c>
      <c r="E15" s="77">
        <v>0</v>
      </c>
    </row>
    <row r="16" spans="1:5" ht="12.75">
      <c r="A16" s="3" t="s">
        <v>20</v>
      </c>
      <c r="B16" t="s">
        <v>17</v>
      </c>
      <c r="C16" t="s">
        <v>321</v>
      </c>
      <c r="E16" s="77">
        <v>0</v>
      </c>
    </row>
    <row r="17" spans="1:5" ht="12.75">
      <c r="A17" s="3" t="s">
        <v>21</v>
      </c>
      <c r="B17" t="s">
        <v>17</v>
      </c>
      <c r="C17" t="s">
        <v>322</v>
      </c>
      <c r="E17" s="77">
        <v>0</v>
      </c>
    </row>
    <row r="18" spans="1:5" ht="12.75">
      <c r="A18" s="3" t="s">
        <v>22</v>
      </c>
      <c r="B18" t="s">
        <v>17</v>
      </c>
      <c r="C18" t="s">
        <v>323</v>
      </c>
      <c r="E18" s="77">
        <v>0</v>
      </c>
    </row>
    <row r="19" spans="1:5" ht="12.75">
      <c r="A19" s="3" t="s">
        <v>23</v>
      </c>
      <c r="B19" t="s">
        <v>17</v>
      </c>
      <c r="C19" t="s">
        <v>324</v>
      </c>
      <c r="E19" s="77">
        <v>0</v>
      </c>
    </row>
    <row r="20" spans="1:5" ht="12.75">
      <c r="A20" s="3" t="s">
        <v>24</v>
      </c>
      <c r="B20" t="s">
        <v>25</v>
      </c>
      <c r="C20" t="s">
        <v>325</v>
      </c>
      <c r="E20" s="77">
        <v>51728.8</v>
      </c>
    </row>
    <row r="21" spans="1:5" ht="12.75">
      <c r="A21" s="3" t="s">
        <v>26</v>
      </c>
      <c r="B21" t="s">
        <v>27</v>
      </c>
      <c r="C21" t="s">
        <v>326</v>
      </c>
      <c r="E21" s="77">
        <v>0</v>
      </c>
    </row>
    <row r="22" spans="1:5" ht="12.75">
      <c r="A22" s="3" t="s">
        <v>28</v>
      </c>
      <c r="B22" t="s">
        <v>27</v>
      </c>
      <c r="C22" t="s">
        <v>327</v>
      </c>
      <c r="E22" s="77">
        <v>0</v>
      </c>
    </row>
    <row r="23" spans="1:5" ht="12.75">
      <c r="A23" s="3" t="s">
        <v>29</v>
      </c>
      <c r="B23" t="s">
        <v>27</v>
      </c>
      <c r="C23" t="s">
        <v>328</v>
      </c>
      <c r="E23" s="77">
        <v>0</v>
      </c>
    </row>
    <row r="24" spans="1:5" ht="12.75">
      <c r="A24" s="3" t="s">
        <v>30</v>
      </c>
      <c r="B24" t="s">
        <v>27</v>
      </c>
      <c r="C24" t="s">
        <v>329</v>
      </c>
      <c r="E24" s="77">
        <v>0</v>
      </c>
    </row>
    <row r="25" spans="1:5" ht="12.75">
      <c r="A25" s="3" t="s">
        <v>31</v>
      </c>
      <c r="B25" t="s">
        <v>27</v>
      </c>
      <c r="C25" t="s">
        <v>330</v>
      </c>
      <c r="E25" s="77">
        <v>6571.39</v>
      </c>
    </row>
    <row r="26" spans="1:5" ht="12.75">
      <c r="A26" s="3" t="s">
        <v>32</v>
      </c>
      <c r="B26" t="s">
        <v>33</v>
      </c>
      <c r="C26" t="s">
        <v>331</v>
      </c>
      <c r="E26" s="77">
        <v>0</v>
      </c>
    </row>
    <row r="27" spans="1:5" ht="12.75">
      <c r="A27" s="3" t="s">
        <v>35</v>
      </c>
      <c r="B27" t="s">
        <v>33</v>
      </c>
      <c r="C27" t="s">
        <v>332</v>
      </c>
      <c r="E27" s="77">
        <v>0</v>
      </c>
    </row>
    <row r="28" spans="1:5" ht="12.75">
      <c r="A28" s="3" t="s">
        <v>36</v>
      </c>
      <c r="B28" t="s">
        <v>37</v>
      </c>
      <c r="C28" t="s">
        <v>333</v>
      </c>
      <c r="E28" s="77">
        <v>49875.42</v>
      </c>
    </row>
    <row r="29" spans="1:5" ht="12.75">
      <c r="A29" s="3" t="s">
        <v>38</v>
      </c>
      <c r="B29" t="s">
        <v>37</v>
      </c>
      <c r="C29" t="s">
        <v>334</v>
      </c>
      <c r="E29" s="77">
        <v>264393.18</v>
      </c>
    </row>
    <row r="30" spans="1:5" ht="12.75">
      <c r="A30" s="3" t="s">
        <v>39</v>
      </c>
      <c r="B30" t="s">
        <v>40</v>
      </c>
      <c r="C30" t="s">
        <v>335</v>
      </c>
      <c r="E30" s="77">
        <v>51846.71</v>
      </c>
    </row>
    <row r="31" spans="1:5" ht="12.75">
      <c r="A31" s="3" t="s">
        <v>41</v>
      </c>
      <c r="B31" t="s">
        <v>40</v>
      </c>
      <c r="C31" t="s">
        <v>336</v>
      </c>
      <c r="E31" s="77">
        <v>60792.26</v>
      </c>
    </row>
    <row r="32" spans="1:5" ht="12.75">
      <c r="A32" s="3" t="s">
        <v>42</v>
      </c>
      <c r="B32" t="s">
        <v>43</v>
      </c>
      <c r="C32" t="s">
        <v>337</v>
      </c>
      <c r="E32" s="77">
        <v>0</v>
      </c>
    </row>
    <row r="33" spans="1:5" ht="12.75">
      <c r="A33" s="3" t="s">
        <v>45</v>
      </c>
      <c r="B33" t="s">
        <v>43</v>
      </c>
      <c r="C33" t="s">
        <v>338</v>
      </c>
      <c r="E33" s="77">
        <v>0</v>
      </c>
    </row>
    <row r="34" spans="1:5" ht="12.75">
      <c r="A34" s="3" t="s">
        <v>46</v>
      </c>
      <c r="B34" t="s">
        <v>47</v>
      </c>
      <c r="C34" t="s">
        <v>339</v>
      </c>
      <c r="E34" s="77">
        <v>36706.74</v>
      </c>
    </row>
    <row r="35" spans="1:5" ht="12.75">
      <c r="A35" s="3" t="s">
        <v>48</v>
      </c>
      <c r="B35" t="s">
        <v>49</v>
      </c>
      <c r="C35" t="s">
        <v>340</v>
      </c>
      <c r="E35" s="77">
        <v>61304.44</v>
      </c>
    </row>
    <row r="36" spans="1:5" ht="12.75">
      <c r="A36" s="3" t="s">
        <v>50</v>
      </c>
      <c r="B36" t="s">
        <v>49</v>
      </c>
      <c r="C36" t="s">
        <v>341</v>
      </c>
      <c r="E36" s="77">
        <v>0</v>
      </c>
    </row>
    <row r="37" spans="1:5" ht="12.75">
      <c r="A37" s="3" t="s">
        <v>51</v>
      </c>
      <c r="B37" t="s">
        <v>49</v>
      </c>
      <c r="C37" t="s">
        <v>342</v>
      </c>
      <c r="E37" s="77">
        <v>55206.74</v>
      </c>
    </row>
    <row r="38" spans="1:5" ht="12.75">
      <c r="A38" s="3" t="s">
        <v>52</v>
      </c>
      <c r="B38" t="s">
        <v>53</v>
      </c>
      <c r="C38" t="s">
        <v>343</v>
      </c>
      <c r="E38" s="77">
        <v>0</v>
      </c>
    </row>
    <row r="39" spans="1:5" ht="12.75">
      <c r="A39" s="3" t="s">
        <v>54</v>
      </c>
      <c r="B39" t="s">
        <v>53</v>
      </c>
      <c r="C39" t="s">
        <v>344</v>
      </c>
      <c r="E39" s="77">
        <v>0</v>
      </c>
    </row>
    <row r="40" spans="1:5" ht="12.75">
      <c r="A40" s="3" t="s">
        <v>55</v>
      </c>
      <c r="B40" t="s">
        <v>56</v>
      </c>
      <c r="C40" t="s">
        <v>345</v>
      </c>
      <c r="E40" s="77">
        <v>0</v>
      </c>
    </row>
    <row r="41" spans="1:5" ht="12.75">
      <c r="A41" s="3" t="s">
        <v>57</v>
      </c>
      <c r="B41" t="s">
        <v>58</v>
      </c>
      <c r="C41" t="s">
        <v>346</v>
      </c>
      <c r="E41" s="77">
        <v>0</v>
      </c>
    </row>
    <row r="42" spans="1:5" ht="12.75">
      <c r="A42" s="3" t="s">
        <v>59</v>
      </c>
      <c r="B42" t="s">
        <v>60</v>
      </c>
      <c r="C42" t="s">
        <v>347</v>
      </c>
      <c r="E42" s="77">
        <v>98931.13</v>
      </c>
    </row>
    <row r="43" spans="1:5" ht="12.75">
      <c r="A43" s="3" t="s">
        <v>61</v>
      </c>
      <c r="B43" t="s">
        <v>62</v>
      </c>
      <c r="C43" t="s">
        <v>348</v>
      </c>
      <c r="E43" s="77">
        <v>1745497.42</v>
      </c>
    </row>
    <row r="44" spans="1:5" ht="12.75">
      <c r="A44" s="3" t="s">
        <v>63</v>
      </c>
      <c r="B44" t="s">
        <v>64</v>
      </c>
      <c r="C44" t="s">
        <v>349</v>
      </c>
      <c r="E44" s="77">
        <v>0</v>
      </c>
    </row>
    <row r="45" spans="1:5" ht="12.75">
      <c r="A45" s="3" t="s">
        <v>65</v>
      </c>
      <c r="B45" t="s">
        <v>66</v>
      </c>
      <c r="C45" t="s">
        <v>350</v>
      </c>
      <c r="E45" s="77">
        <v>0</v>
      </c>
    </row>
    <row r="46" spans="1:5" ht="12.75">
      <c r="A46" s="3" t="s">
        <v>67</v>
      </c>
      <c r="B46" t="s">
        <v>68</v>
      </c>
      <c r="C46" t="s">
        <v>351</v>
      </c>
      <c r="E46" s="77">
        <v>0</v>
      </c>
    </row>
    <row r="47" spans="1:5" ht="12.75">
      <c r="A47" s="3" t="s">
        <v>69</v>
      </c>
      <c r="B47" t="s">
        <v>70</v>
      </c>
      <c r="C47" t="s">
        <v>352</v>
      </c>
      <c r="E47" s="77">
        <v>0</v>
      </c>
    </row>
    <row r="48" spans="1:5" ht="12.75">
      <c r="A48" s="3" t="s">
        <v>71</v>
      </c>
      <c r="B48" t="s">
        <v>70</v>
      </c>
      <c r="C48" t="s">
        <v>353</v>
      </c>
      <c r="E48" s="77">
        <v>0</v>
      </c>
    </row>
    <row r="49" spans="1:5" ht="12.75">
      <c r="A49" s="3" t="s">
        <v>73</v>
      </c>
      <c r="B49" t="s">
        <v>70</v>
      </c>
      <c r="C49" t="s">
        <v>354</v>
      </c>
      <c r="E49" s="77">
        <v>0</v>
      </c>
    </row>
    <row r="50" spans="1:5" ht="12.75">
      <c r="A50" s="3" t="s">
        <v>74</v>
      </c>
      <c r="B50" t="s">
        <v>70</v>
      </c>
      <c r="C50" t="s">
        <v>355</v>
      </c>
      <c r="E50" s="77">
        <v>0</v>
      </c>
    </row>
    <row r="51" spans="1:5" ht="12.75">
      <c r="A51" s="3" t="s">
        <v>75</v>
      </c>
      <c r="B51" t="s">
        <v>70</v>
      </c>
      <c r="C51" t="s">
        <v>356</v>
      </c>
      <c r="E51" s="77">
        <v>0</v>
      </c>
    </row>
    <row r="52" spans="1:5" ht="12.75">
      <c r="A52" s="3" t="s">
        <v>76</v>
      </c>
      <c r="B52" t="s">
        <v>77</v>
      </c>
      <c r="C52" t="s">
        <v>357</v>
      </c>
      <c r="E52" s="77">
        <v>0</v>
      </c>
    </row>
    <row r="53" spans="1:5" ht="12.75">
      <c r="A53" s="3" t="s">
        <v>78</v>
      </c>
      <c r="B53" t="s">
        <v>77</v>
      </c>
      <c r="C53" t="s">
        <v>358</v>
      </c>
      <c r="E53" s="77">
        <v>469141.52</v>
      </c>
    </row>
    <row r="54" spans="1:5" ht="12.75">
      <c r="A54" s="3" t="s">
        <v>79</v>
      </c>
      <c r="B54" t="s">
        <v>77</v>
      </c>
      <c r="C54" t="s">
        <v>359</v>
      </c>
      <c r="E54" s="77">
        <v>16204.22</v>
      </c>
    </row>
    <row r="55" spans="1:5" ht="12.75">
      <c r="A55" s="3" t="s">
        <v>80</v>
      </c>
      <c r="B55" t="s">
        <v>77</v>
      </c>
      <c r="C55" t="s">
        <v>360</v>
      </c>
      <c r="E55" s="77">
        <v>0</v>
      </c>
    </row>
    <row r="56" spans="1:5" ht="12.75">
      <c r="A56" s="3" t="s">
        <v>81</v>
      </c>
      <c r="B56" t="s">
        <v>77</v>
      </c>
      <c r="C56" t="s">
        <v>361</v>
      </c>
      <c r="E56" s="77">
        <v>608831.92</v>
      </c>
    </row>
    <row r="57" spans="1:5" ht="12.75">
      <c r="A57" s="3" t="s">
        <v>82</v>
      </c>
      <c r="B57" t="s">
        <v>77</v>
      </c>
      <c r="C57" t="s">
        <v>362</v>
      </c>
      <c r="E57" s="77">
        <v>0</v>
      </c>
    </row>
    <row r="58" spans="1:5" ht="12.75">
      <c r="A58" s="3" t="s">
        <v>83</v>
      </c>
      <c r="B58" t="s">
        <v>77</v>
      </c>
      <c r="C58" t="s">
        <v>363</v>
      </c>
      <c r="E58" s="77">
        <v>0</v>
      </c>
    </row>
    <row r="59" spans="1:5" ht="12.75">
      <c r="A59" s="3" t="s">
        <v>84</v>
      </c>
      <c r="B59" t="s">
        <v>77</v>
      </c>
      <c r="C59" t="s">
        <v>364</v>
      </c>
      <c r="E59" s="77">
        <v>0</v>
      </c>
    </row>
    <row r="60" spans="1:5" ht="12.75">
      <c r="A60" s="3" t="s">
        <v>85</v>
      </c>
      <c r="B60" t="s">
        <v>77</v>
      </c>
      <c r="C60" t="s">
        <v>365</v>
      </c>
      <c r="E60" s="77">
        <v>0</v>
      </c>
    </row>
    <row r="61" spans="1:5" ht="12.75">
      <c r="A61" s="3" t="s">
        <v>86</v>
      </c>
      <c r="B61" t="s">
        <v>77</v>
      </c>
      <c r="C61" t="s">
        <v>366</v>
      </c>
      <c r="E61" s="77">
        <v>0</v>
      </c>
    </row>
    <row r="62" spans="1:5" ht="12.75">
      <c r="A62" s="3" t="s">
        <v>87</v>
      </c>
      <c r="B62" t="s">
        <v>77</v>
      </c>
      <c r="C62" t="s">
        <v>367</v>
      </c>
      <c r="E62" s="77">
        <v>56980.39</v>
      </c>
    </row>
    <row r="63" spans="1:5" ht="12.75">
      <c r="A63" s="3" t="s">
        <v>88</v>
      </c>
      <c r="B63" t="s">
        <v>77</v>
      </c>
      <c r="C63" t="s">
        <v>368</v>
      </c>
      <c r="E63" s="77">
        <v>0</v>
      </c>
    </row>
    <row r="64" spans="1:5" ht="12.75">
      <c r="A64" s="3" t="s">
        <v>89</v>
      </c>
      <c r="B64" t="s">
        <v>77</v>
      </c>
      <c r="C64" t="s">
        <v>369</v>
      </c>
      <c r="E64" s="77">
        <v>0</v>
      </c>
    </row>
    <row r="65" spans="1:5" ht="12.75">
      <c r="A65" s="3" t="s">
        <v>90</v>
      </c>
      <c r="B65" t="s">
        <v>77</v>
      </c>
      <c r="C65" t="s">
        <v>370</v>
      </c>
      <c r="E65" s="77">
        <v>28272.78</v>
      </c>
    </row>
    <row r="66" spans="1:5" ht="12.75">
      <c r="A66" s="3" t="s">
        <v>91</v>
      </c>
      <c r="B66" t="s">
        <v>77</v>
      </c>
      <c r="C66" t="s">
        <v>371</v>
      </c>
      <c r="E66" s="77">
        <v>0</v>
      </c>
    </row>
    <row r="67" spans="1:5" ht="12.75">
      <c r="A67" s="3" t="s">
        <v>92</v>
      </c>
      <c r="B67" t="s">
        <v>93</v>
      </c>
      <c r="C67" t="s">
        <v>372</v>
      </c>
      <c r="E67" s="77">
        <v>97228.29</v>
      </c>
    </row>
    <row r="68" spans="1:5" ht="12.75">
      <c r="A68" s="3" t="s">
        <v>94</v>
      </c>
      <c r="B68" t="s">
        <v>93</v>
      </c>
      <c r="C68" t="s">
        <v>373</v>
      </c>
      <c r="E68" s="77">
        <v>54070.13</v>
      </c>
    </row>
    <row r="69" spans="1:5" ht="12.75">
      <c r="A69" s="3" t="s">
        <v>95</v>
      </c>
      <c r="B69" t="s">
        <v>93</v>
      </c>
      <c r="C69" t="s">
        <v>374</v>
      </c>
      <c r="E69" s="77">
        <v>0</v>
      </c>
    </row>
    <row r="70" spans="1:5" ht="12.75">
      <c r="A70" s="3" t="s">
        <v>96</v>
      </c>
      <c r="B70" t="s">
        <v>97</v>
      </c>
      <c r="C70" t="s">
        <v>375</v>
      </c>
      <c r="E70" s="77">
        <v>35209.83</v>
      </c>
    </row>
    <row r="71" spans="1:5" ht="12.75">
      <c r="A71" s="3" t="s">
        <v>98</v>
      </c>
      <c r="B71" t="s">
        <v>97</v>
      </c>
      <c r="C71" t="s">
        <v>376</v>
      </c>
      <c r="E71" s="77">
        <v>0</v>
      </c>
    </row>
    <row r="72" spans="1:5" ht="12.75">
      <c r="A72" s="3" t="s">
        <v>99</v>
      </c>
      <c r="B72" t="s">
        <v>97</v>
      </c>
      <c r="C72" t="s">
        <v>377</v>
      </c>
      <c r="E72" s="77">
        <v>0</v>
      </c>
    </row>
    <row r="73" spans="1:5" ht="12.75">
      <c r="A73" s="3" t="s">
        <v>100</v>
      </c>
      <c r="B73" t="s">
        <v>101</v>
      </c>
      <c r="C73" t="s">
        <v>378</v>
      </c>
      <c r="E73" s="77">
        <v>0</v>
      </c>
    </row>
    <row r="74" spans="1:5" ht="12.75">
      <c r="A74" s="3" t="s">
        <v>102</v>
      </c>
      <c r="B74" t="s">
        <v>103</v>
      </c>
      <c r="C74" t="s">
        <v>379</v>
      </c>
      <c r="E74" s="77">
        <v>0</v>
      </c>
    </row>
    <row r="75" spans="1:5" ht="12.75">
      <c r="A75" s="3" t="s">
        <v>104</v>
      </c>
      <c r="B75" t="s">
        <v>103</v>
      </c>
      <c r="C75" t="s">
        <v>380</v>
      </c>
      <c r="E75" s="77">
        <v>0</v>
      </c>
    </row>
    <row r="76" spans="1:5" ht="12.75">
      <c r="A76" s="3" t="s">
        <v>105</v>
      </c>
      <c r="B76" t="s">
        <v>106</v>
      </c>
      <c r="C76" t="s">
        <v>381</v>
      </c>
      <c r="E76" s="77">
        <v>67527.01</v>
      </c>
    </row>
    <row r="77" spans="1:5" ht="12.75">
      <c r="A77" s="3" t="s">
        <v>107</v>
      </c>
      <c r="B77" t="s">
        <v>108</v>
      </c>
      <c r="C77" t="s">
        <v>382</v>
      </c>
      <c r="E77" s="77">
        <v>0</v>
      </c>
    </row>
    <row r="78" spans="1:5" ht="12.75">
      <c r="A78" s="3" t="s">
        <v>109</v>
      </c>
      <c r="B78" t="s">
        <v>110</v>
      </c>
      <c r="C78" t="s">
        <v>383</v>
      </c>
      <c r="E78" s="77">
        <v>0</v>
      </c>
    </row>
    <row r="79" spans="1:5" ht="12.75">
      <c r="A79" s="3" t="s">
        <v>111</v>
      </c>
      <c r="B79" t="s">
        <v>110</v>
      </c>
      <c r="C79" t="s">
        <v>384</v>
      </c>
      <c r="E79" s="77">
        <v>0</v>
      </c>
    </row>
    <row r="80" spans="1:5" ht="12.75">
      <c r="A80" s="3" t="s">
        <v>112</v>
      </c>
      <c r="B80" t="s">
        <v>113</v>
      </c>
      <c r="C80" t="s">
        <v>385</v>
      </c>
      <c r="E80" s="77">
        <v>0</v>
      </c>
    </row>
    <row r="81" spans="1:5" ht="12.75">
      <c r="A81" s="3" t="s">
        <v>114</v>
      </c>
      <c r="B81" t="s">
        <v>115</v>
      </c>
      <c r="C81" t="s">
        <v>386</v>
      </c>
      <c r="E81" s="77">
        <v>349851.33</v>
      </c>
    </row>
    <row r="82" spans="1:5" ht="12.75">
      <c r="A82" s="3" t="s">
        <v>116</v>
      </c>
      <c r="B82" t="s">
        <v>72</v>
      </c>
      <c r="C82" t="s">
        <v>387</v>
      </c>
      <c r="E82" s="77">
        <v>0</v>
      </c>
    </row>
    <row r="83" spans="1:5" ht="12.75">
      <c r="A83" s="3" t="s">
        <v>117</v>
      </c>
      <c r="B83" t="s">
        <v>72</v>
      </c>
      <c r="C83" t="s">
        <v>388</v>
      </c>
      <c r="E83" s="77">
        <v>12778.59</v>
      </c>
    </row>
    <row r="84" spans="1:5" ht="12.75">
      <c r="A84" s="3" t="s">
        <v>118</v>
      </c>
      <c r="B84" t="s">
        <v>44</v>
      </c>
      <c r="C84" t="s">
        <v>389</v>
      </c>
      <c r="E84" s="77">
        <v>28223.35</v>
      </c>
    </row>
    <row r="85" spans="1:5" ht="12.75">
      <c r="A85" s="3" t="s">
        <v>119</v>
      </c>
      <c r="B85" t="s">
        <v>44</v>
      </c>
      <c r="C85" t="s">
        <v>390</v>
      </c>
      <c r="E85" s="77">
        <v>0</v>
      </c>
    </row>
    <row r="86" spans="1:5" ht="12.75">
      <c r="A86" s="3" t="s">
        <v>120</v>
      </c>
      <c r="B86" t="s">
        <v>44</v>
      </c>
      <c r="C86" t="s">
        <v>391</v>
      </c>
      <c r="E86" s="77">
        <v>0</v>
      </c>
    </row>
    <row r="87" spans="1:5" ht="12.75">
      <c r="A87" s="3" t="s">
        <v>121</v>
      </c>
      <c r="B87" t="s">
        <v>44</v>
      </c>
      <c r="C87" t="s">
        <v>392</v>
      </c>
      <c r="E87" s="77">
        <v>19786.49</v>
      </c>
    </row>
    <row r="88" spans="1:5" ht="12.75">
      <c r="A88" s="3" t="s">
        <v>122</v>
      </c>
      <c r="B88" t="s">
        <v>44</v>
      </c>
      <c r="C88" t="s">
        <v>393</v>
      </c>
      <c r="E88" s="77">
        <v>53068.47</v>
      </c>
    </row>
    <row r="89" spans="1:5" ht="12.75">
      <c r="A89" s="3" t="s">
        <v>123</v>
      </c>
      <c r="B89" t="s">
        <v>124</v>
      </c>
      <c r="C89" t="s">
        <v>394</v>
      </c>
      <c r="E89" s="77">
        <v>107110.67</v>
      </c>
    </row>
    <row r="90" spans="1:5" ht="12.75">
      <c r="A90" s="3" t="s">
        <v>125</v>
      </c>
      <c r="B90" t="s">
        <v>126</v>
      </c>
      <c r="C90" t="s">
        <v>395</v>
      </c>
      <c r="E90" s="77">
        <v>50236.56</v>
      </c>
    </row>
    <row r="91" spans="1:5" ht="12.75">
      <c r="A91" s="3" t="s">
        <v>127</v>
      </c>
      <c r="B91" t="s">
        <v>126</v>
      </c>
      <c r="C91" t="s">
        <v>396</v>
      </c>
      <c r="E91" s="77">
        <v>0</v>
      </c>
    </row>
    <row r="92" spans="1:5" ht="12.75">
      <c r="A92" s="3" t="s">
        <v>128</v>
      </c>
      <c r="B92" t="s">
        <v>126</v>
      </c>
      <c r="C92" t="s">
        <v>397</v>
      </c>
      <c r="E92" s="77">
        <v>0</v>
      </c>
    </row>
    <row r="93" spans="1:5" ht="12.75">
      <c r="A93" s="3" t="s">
        <v>129</v>
      </c>
      <c r="B93" t="s">
        <v>130</v>
      </c>
      <c r="C93" t="s">
        <v>398</v>
      </c>
      <c r="E93" s="77">
        <v>0</v>
      </c>
    </row>
    <row r="94" spans="1:5" ht="12.75">
      <c r="A94" s="3" t="s">
        <v>131</v>
      </c>
      <c r="B94" t="s">
        <v>130</v>
      </c>
      <c r="C94" t="s">
        <v>399</v>
      </c>
      <c r="E94" s="77">
        <v>0</v>
      </c>
    </row>
    <row r="95" spans="1:5" ht="12.75">
      <c r="A95" s="3" t="s">
        <v>132</v>
      </c>
      <c r="B95" t="s">
        <v>130</v>
      </c>
      <c r="C95" t="s">
        <v>400</v>
      </c>
      <c r="E95" s="77">
        <v>0</v>
      </c>
    </row>
    <row r="96" spans="1:5" ht="12.75">
      <c r="A96" s="3" t="s">
        <v>133</v>
      </c>
      <c r="B96" t="s">
        <v>34</v>
      </c>
      <c r="C96" t="s">
        <v>401</v>
      </c>
      <c r="E96" s="77">
        <v>54283.87</v>
      </c>
    </row>
    <row r="97" spans="1:5" ht="12.75">
      <c r="A97" s="3" t="s">
        <v>134</v>
      </c>
      <c r="B97" t="s">
        <v>34</v>
      </c>
      <c r="C97" t="s">
        <v>402</v>
      </c>
      <c r="E97" s="77">
        <v>0</v>
      </c>
    </row>
    <row r="98" spans="1:5" ht="12.75">
      <c r="A98" s="3" t="s">
        <v>135</v>
      </c>
      <c r="B98" t="s">
        <v>34</v>
      </c>
      <c r="C98" t="s">
        <v>403</v>
      </c>
      <c r="E98" s="77">
        <v>0</v>
      </c>
    </row>
    <row r="99" spans="1:5" ht="12.75">
      <c r="A99" s="3" t="s">
        <v>136</v>
      </c>
      <c r="B99" t="s">
        <v>34</v>
      </c>
      <c r="C99" t="s">
        <v>404</v>
      </c>
      <c r="E99" s="77">
        <v>19552.4</v>
      </c>
    </row>
    <row r="100" spans="1:5" ht="12.75">
      <c r="A100" s="3" t="s">
        <v>137</v>
      </c>
      <c r="B100" t="s">
        <v>34</v>
      </c>
      <c r="C100" t="s">
        <v>405</v>
      </c>
      <c r="E100" s="77">
        <v>0</v>
      </c>
    </row>
    <row r="101" spans="1:5" ht="12.75">
      <c r="A101" s="3" t="s">
        <v>138</v>
      </c>
      <c r="B101" t="s">
        <v>34</v>
      </c>
      <c r="C101" t="s">
        <v>406</v>
      </c>
      <c r="E101" s="77">
        <v>0</v>
      </c>
    </row>
    <row r="102" spans="1:5" ht="12.75">
      <c r="A102" s="3" t="s">
        <v>139</v>
      </c>
      <c r="B102" t="s">
        <v>140</v>
      </c>
      <c r="C102" t="s">
        <v>407</v>
      </c>
      <c r="E102" s="77">
        <v>0</v>
      </c>
    </row>
    <row r="103" spans="1:5" ht="12.75">
      <c r="A103" s="3" t="s">
        <v>141</v>
      </c>
      <c r="B103" t="s">
        <v>140</v>
      </c>
      <c r="C103" t="s">
        <v>408</v>
      </c>
      <c r="E103" s="77">
        <v>0</v>
      </c>
    </row>
    <row r="104" spans="1:5" ht="12.75">
      <c r="A104" s="3" t="s">
        <v>142</v>
      </c>
      <c r="B104" t="s">
        <v>140</v>
      </c>
      <c r="C104" t="s">
        <v>409</v>
      </c>
      <c r="E104" s="77">
        <v>0</v>
      </c>
    </row>
    <row r="105" spans="1:5" ht="12.75">
      <c r="A105" s="3" t="s">
        <v>143</v>
      </c>
      <c r="B105" t="s">
        <v>144</v>
      </c>
      <c r="C105" t="s">
        <v>410</v>
      </c>
      <c r="E105" s="77">
        <v>0</v>
      </c>
    </row>
    <row r="106" spans="1:5" ht="12.75">
      <c r="A106" s="3" t="s">
        <v>145</v>
      </c>
      <c r="B106" t="s">
        <v>144</v>
      </c>
      <c r="C106" t="s">
        <v>411</v>
      </c>
      <c r="E106" s="77">
        <v>22653.79</v>
      </c>
    </row>
    <row r="107" spans="1:5" ht="12.75">
      <c r="A107" s="3" t="s">
        <v>146</v>
      </c>
      <c r="B107" t="s">
        <v>144</v>
      </c>
      <c r="C107" t="s">
        <v>412</v>
      </c>
      <c r="E107" s="77">
        <v>0</v>
      </c>
    </row>
    <row r="108" spans="1:5" ht="12.75">
      <c r="A108" s="3" t="s">
        <v>147</v>
      </c>
      <c r="B108" t="s">
        <v>144</v>
      </c>
      <c r="C108" t="s">
        <v>413</v>
      </c>
      <c r="E108" s="77">
        <v>0</v>
      </c>
    </row>
    <row r="109" spans="1:5" ht="12.75">
      <c r="A109" s="3" t="s">
        <v>148</v>
      </c>
      <c r="B109" t="s">
        <v>149</v>
      </c>
      <c r="C109" t="s">
        <v>414</v>
      </c>
      <c r="E109" s="77">
        <v>0</v>
      </c>
    </row>
    <row r="110" spans="1:5" ht="12.75">
      <c r="A110" s="3" t="s">
        <v>150</v>
      </c>
      <c r="B110" t="s">
        <v>149</v>
      </c>
      <c r="C110" t="s">
        <v>415</v>
      </c>
      <c r="E110" s="77">
        <v>0</v>
      </c>
    </row>
    <row r="111" spans="1:5" ht="12.75">
      <c r="A111" s="3" t="s">
        <v>151</v>
      </c>
      <c r="B111" t="s">
        <v>149</v>
      </c>
      <c r="C111" t="s">
        <v>416</v>
      </c>
      <c r="E111" s="77">
        <v>408191.69</v>
      </c>
    </row>
    <row r="112" spans="1:5" ht="12.75">
      <c r="A112" s="3" t="s">
        <v>152</v>
      </c>
      <c r="B112" t="s">
        <v>153</v>
      </c>
      <c r="C112" t="s">
        <v>417</v>
      </c>
      <c r="E112" s="77">
        <v>0</v>
      </c>
    </row>
    <row r="113" spans="1:5" ht="12.75">
      <c r="A113" s="3" t="s">
        <v>154</v>
      </c>
      <c r="B113" t="s">
        <v>155</v>
      </c>
      <c r="C113" t="s">
        <v>418</v>
      </c>
      <c r="E113" s="77">
        <v>48614.14</v>
      </c>
    </row>
    <row r="114" spans="1:5" ht="12.75">
      <c r="A114" s="3" t="s">
        <v>156</v>
      </c>
      <c r="B114" t="s">
        <v>157</v>
      </c>
      <c r="C114" t="s">
        <v>419</v>
      </c>
      <c r="E114" s="77">
        <v>0</v>
      </c>
    </row>
    <row r="115" spans="1:5" ht="12.75">
      <c r="A115" s="3" t="s">
        <v>158</v>
      </c>
      <c r="B115" t="s">
        <v>157</v>
      </c>
      <c r="C115" t="s">
        <v>420</v>
      </c>
      <c r="E115" s="77">
        <v>0</v>
      </c>
    </row>
    <row r="116" spans="1:5" ht="12.75">
      <c r="A116" s="3" t="s">
        <v>159</v>
      </c>
      <c r="B116" t="s">
        <v>157</v>
      </c>
      <c r="C116" t="s">
        <v>421</v>
      </c>
      <c r="E116" s="77">
        <v>0</v>
      </c>
    </row>
    <row r="117" spans="1:5" ht="12.75">
      <c r="A117" s="3" t="s">
        <v>160</v>
      </c>
      <c r="B117" t="s">
        <v>161</v>
      </c>
      <c r="C117" t="s">
        <v>422</v>
      </c>
      <c r="E117" s="77">
        <v>51040.56</v>
      </c>
    </row>
    <row r="118" spans="1:5" ht="12.75">
      <c r="A118" s="3" t="s">
        <v>162</v>
      </c>
      <c r="B118" t="s">
        <v>161</v>
      </c>
      <c r="C118" t="s">
        <v>423</v>
      </c>
      <c r="E118" s="77">
        <v>21769.58</v>
      </c>
    </row>
    <row r="119" spans="1:5" ht="12.75">
      <c r="A119" s="3" t="s">
        <v>163</v>
      </c>
      <c r="B119" t="s">
        <v>164</v>
      </c>
      <c r="C119" t="s">
        <v>424</v>
      </c>
      <c r="E119" s="77">
        <v>0</v>
      </c>
    </row>
    <row r="120" spans="1:5" ht="12.75">
      <c r="A120" s="3" t="s">
        <v>165</v>
      </c>
      <c r="B120" t="s">
        <v>164</v>
      </c>
      <c r="C120" t="s">
        <v>425</v>
      </c>
      <c r="E120" s="77">
        <v>51544.41</v>
      </c>
    </row>
    <row r="121" spans="1:5" ht="12.75">
      <c r="A121" s="3" t="s">
        <v>166</v>
      </c>
      <c r="B121" t="s">
        <v>164</v>
      </c>
      <c r="C121" t="s">
        <v>426</v>
      </c>
      <c r="E121" s="77">
        <v>0</v>
      </c>
    </row>
    <row r="122" spans="1:5" ht="12.75">
      <c r="A122" s="3" t="s">
        <v>167</v>
      </c>
      <c r="B122" t="s">
        <v>164</v>
      </c>
      <c r="C122" t="s">
        <v>427</v>
      </c>
      <c r="E122" s="77">
        <v>0</v>
      </c>
    </row>
    <row r="123" spans="1:5" ht="12.75">
      <c r="A123" s="3" t="s">
        <v>168</v>
      </c>
      <c r="B123" t="s">
        <v>169</v>
      </c>
      <c r="C123" t="s">
        <v>428</v>
      </c>
      <c r="E123" s="77">
        <v>0</v>
      </c>
    </row>
    <row r="124" spans="1:5" ht="12.75">
      <c r="A124" s="3" t="s">
        <v>170</v>
      </c>
      <c r="B124" t="s">
        <v>169</v>
      </c>
      <c r="C124" t="s">
        <v>429</v>
      </c>
      <c r="E124" s="77">
        <v>98012.68</v>
      </c>
    </row>
    <row r="125" spans="1:5" ht="12.75">
      <c r="A125" s="3" t="s">
        <v>171</v>
      </c>
      <c r="B125" t="s">
        <v>169</v>
      </c>
      <c r="C125" t="s">
        <v>430</v>
      </c>
      <c r="E125" s="77">
        <v>0</v>
      </c>
    </row>
    <row r="126" spans="1:5" ht="12.75">
      <c r="A126" s="3" t="s">
        <v>172</v>
      </c>
      <c r="B126" t="s">
        <v>169</v>
      </c>
      <c r="C126" t="s">
        <v>431</v>
      </c>
      <c r="E126" s="77">
        <v>0</v>
      </c>
    </row>
    <row r="127" spans="1:5" ht="12.75">
      <c r="A127" s="3" t="s">
        <v>173</v>
      </c>
      <c r="B127" t="s">
        <v>169</v>
      </c>
      <c r="C127" t="s">
        <v>432</v>
      </c>
      <c r="E127" s="77">
        <v>0</v>
      </c>
    </row>
    <row r="128" spans="1:5" ht="12.75">
      <c r="A128" s="3" t="s">
        <v>174</v>
      </c>
      <c r="B128" t="s">
        <v>169</v>
      </c>
      <c r="C128" t="s">
        <v>433</v>
      </c>
      <c r="E128" s="77">
        <v>0</v>
      </c>
    </row>
    <row r="129" spans="1:5" ht="12.75">
      <c r="A129" s="3" t="s">
        <v>175</v>
      </c>
      <c r="B129" t="s">
        <v>176</v>
      </c>
      <c r="C129" t="s">
        <v>434</v>
      </c>
      <c r="E129" s="77">
        <v>0</v>
      </c>
    </row>
    <row r="130" spans="1:5" ht="12.75">
      <c r="A130" s="3" t="s">
        <v>177</v>
      </c>
      <c r="B130" t="s">
        <v>176</v>
      </c>
      <c r="C130" t="s">
        <v>435</v>
      </c>
      <c r="E130" s="77">
        <v>0</v>
      </c>
    </row>
    <row r="131" spans="1:5" ht="12.75">
      <c r="A131" s="3" t="s">
        <v>178</v>
      </c>
      <c r="B131" t="s">
        <v>179</v>
      </c>
      <c r="C131" t="s">
        <v>436</v>
      </c>
      <c r="E131" s="77">
        <v>36536.4</v>
      </c>
    </row>
    <row r="132" spans="1:5" ht="12.75">
      <c r="A132" s="3" t="s">
        <v>180</v>
      </c>
      <c r="B132" t="s">
        <v>179</v>
      </c>
      <c r="C132" t="s">
        <v>437</v>
      </c>
      <c r="E132" s="77">
        <v>0</v>
      </c>
    </row>
    <row r="133" spans="1:5" ht="12.75">
      <c r="A133" s="3" t="s">
        <v>181</v>
      </c>
      <c r="B133" t="s">
        <v>182</v>
      </c>
      <c r="C133" t="s">
        <v>438</v>
      </c>
      <c r="E133" s="77">
        <v>54281.98</v>
      </c>
    </row>
    <row r="134" spans="1:5" ht="12.75">
      <c r="A134" s="3" t="s">
        <v>183</v>
      </c>
      <c r="B134" t="s">
        <v>182</v>
      </c>
      <c r="C134" t="s">
        <v>439</v>
      </c>
      <c r="E134" s="77">
        <v>0</v>
      </c>
    </row>
    <row r="135" spans="1:5" ht="12.75">
      <c r="A135" s="3" t="s">
        <v>184</v>
      </c>
      <c r="B135" t="s">
        <v>185</v>
      </c>
      <c r="C135" t="s">
        <v>440</v>
      </c>
      <c r="E135" s="77">
        <v>0</v>
      </c>
    </row>
    <row r="136" spans="1:5" ht="12.75">
      <c r="A136" s="3" t="s">
        <v>186</v>
      </c>
      <c r="B136" t="s">
        <v>187</v>
      </c>
      <c r="C136" t="s">
        <v>441</v>
      </c>
      <c r="E136" s="77">
        <v>43714.22</v>
      </c>
    </row>
    <row r="137" spans="1:5" ht="12.75">
      <c r="A137" s="3" t="s">
        <v>188</v>
      </c>
      <c r="B137" t="s">
        <v>187</v>
      </c>
      <c r="C137" t="s">
        <v>442</v>
      </c>
      <c r="E137" s="77">
        <v>51412.17</v>
      </c>
    </row>
    <row r="138" spans="1:5" ht="12.75">
      <c r="A138" s="3" t="s">
        <v>189</v>
      </c>
      <c r="B138" t="s">
        <v>187</v>
      </c>
      <c r="C138" t="s">
        <v>443</v>
      </c>
      <c r="E138" s="77">
        <v>0</v>
      </c>
    </row>
    <row r="139" spans="1:5" ht="12.75">
      <c r="A139" s="3" t="s">
        <v>190</v>
      </c>
      <c r="B139" t="s">
        <v>187</v>
      </c>
      <c r="C139" t="s">
        <v>444</v>
      </c>
      <c r="E139" s="77">
        <v>0</v>
      </c>
    </row>
    <row r="140" spans="1:5" ht="12.75">
      <c r="A140" s="3" t="s">
        <v>191</v>
      </c>
      <c r="B140" t="s">
        <v>192</v>
      </c>
      <c r="C140" t="s">
        <v>445</v>
      </c>
      <c r="E140" s="77">
        <v>580495.46</v>
      </c>
    </row>
    <row r="141" spans="1:5" ht="12.75">
      <c r="A141" s="3" t="s">
        <v>193</v>
      </c>
      <c r="B141" t="s">
        <v>192</v>
      </c>
      <c r="C141" t="s">
        <v>446</v>
      </c>
      <c r="E141" s="77">
        <v>0</v>
      </c>
    </row>
    <row r="142" spans="1:5" ht="12.75">
      <c r="A142" s="3" t="s">
        <v>194</v>
      </c>
      <c r="B142" t="s">
        <v>195</v>
      </c>
      <c r="C142" t="s">
        <v>447</v>
      </c>
      <c r="E142" s="77">
        <v>0</v>
      </c>
    </row>
    <row r="143" spans="1:5" ht="12.75">
      <c r="A143" s="3" t="s">
        <v>196</v>
      </c>
      <c r="B143" t="s">
        <v>195</v>
      </c>
      <c r="C143" t="s">
        <v>448</v>
      </c>
      <c r="E143" s="77">
        <v>0</v>
      </c>
    </row>
    <row r="144" spans="1:5" ht="12.75">
      <c r="A144" s="3" t="s">
        <v>197</v>
      </c>
      <c r="B144" t="s">
        <v>198</v>
      </c>
      <c r="C144" t="s">
        <v>449</v>
      </c>
      <c r="E144" s="77">
        <v>0</v>
      </c>
    </row>
    <row r="145" spans="1:5" ht="12.75">
      <c r="A145" s="3" t="s">
        <v>199</v>
      </c>
      <c r="B145" t="s">
        <v>198</v>
      </c>
      <c r="C145" t="s">
        <v>450</v>
      </c>
      <c r="E145" s="77">
        <v>103785.3</v>
      </c>
    </row>
    <row r="146" spans="1:5" ht="12.75">
      <c r="A146" s="3" t="s">
        <v>200</v>
      </c>
      <c r="B146" t="s">
        <v>198</v>
      </c>
      <c r="C146" t="s">
        <v>451</v>
      </c>
      <c r="E146" s="77">
        <v>0</v>
      </c>
    </row>
    <row r="147" spans="1:5" ht="12.75">
      <c r="A147" s="3" t="s">
        <v>201</v>
      </c>
      <c r="B147" t="s">
        <v>202</v>
      </c>
      <c r="C147" t="s">
        <v>452</v>
      </c>
      <c r="E147" s="77">
        <v>43069.55</v>
      </c>
    </row>
    <row r="148" spans="1:5" ht="12.75">
      <c r="A148" s="3" t="s">
        <v>203</v>
      </c>
      <c r="B148" t="s">
        <v>202</v>
      </c>
      <c r="C148" t="s">
        <v>453</v>
      </c>
      <c r="E148" s="77">
        <v>0</v>
      </c>
    </row>
    <row r="149" spans="1:5" ht="12.75">
      <c r="A149" s="3" t="s">
        <v>204</v>
      </c>
      <c r="B149" t="s">
        <v>202</v>
      </c>
      <c r="C149" t="s">
        <v>454</v>
      </c>
      <c r="E149" s="77">
        <v>32578.13</v>
      </c>
    </row>
    <row r="150" spans="1:5" ht="12.75">
      <c r="A150" s="3" t="s">
        <v>205</v>
      </c>
      <c r="B150" t="s">
        <v>206</v>
      </c>
      <c r="C150" t="s">
        <v>455</v>
      </c>
      <c r="E150" s="77">
        <v>0</v>
      </c>
    </row>
    <row r="151" spans="1:5" ht="12.75">
      <c r="A151" s="3" t="s">
        <v>207</v>
      </c>
      <c r="B151" t="s">
        <v>206</v>
      </c>
      <c r="C151" t="s">
        <v>456</v>
      </c>
      <c r="E151" s="77">
        <v>0</v>
      </c>
    </row>
    <row r="152" spans="1:5" ht="12.75">
      <c r="A152" s="3" t="s">
        <v>208</v>
      </c>
      <c r="B152" t="s">
        <v>206</v>
      </c>
      <c r="C152" t="s">
        <v>457</v>
      </c>
      <c r="E152" s="77">
        <v>57338.73</v>
      </c>
    </row>
    <row r="153" spans="1:5" ht="12.75">
      <c r="A153" s="3" t="s">
        <v>209</v>
      </c>
      <c r="B153" t="s">
        <v>210</v>
      </c>
      <c r="C153" t="s">
        <v>458</v>
      </c>
      <c r="E153" s="77">
        <v>0</v>
      </c>
    </row>
    <row r="154" spans="1:5" ht="12.75">
      <c r="A154" s="3" t="s">
        <v>211</v>
      </c>
      <c r="B154" t="s">
        <v>212</v>
      </c>
      <c r="C154" t="s">
        <v>459</v>
      </c>
      <c r="E154" s="77">
        <v>0</v>
      </c>
    </row>
    <row r="155" spans="1:5" ht="12.75">
      <c r="A155" s="3" t="s">
        <v>213</v>
      </c>
      <c r="B155" t="s">
        <v>212</v>
      </c>
      <c r="C155" t="s">
        <v>460</v>
      </c>
      <c r="E155" s="77">
        <v>0</v>
      </c>
    </row>
    <row r="156" spans="1:5" ht="12.75">
      <c r="A156" s="3" t="s">
        <v>214</v>
      </c>
      <c r="B156" t="s">
        <v>215</v>
      </c>
      <c r="C156" t="s">
        <v>461</v>
      </c>
      <c r="E156" s="77">
        <v>0</v>
      </c>
    </row>
    <row r="157" spans="1:5" ht="12.75">
      <c r="A157" s="3" t="s">
        <v>216</v>
      </c>
      <c r="B157" t="s">
        <v>215</v>
      </c>
      <c r="C157" t="s">
        <v>462</v>
      </c>
      <c r="E157" s="77">
        <v>0</v>
      </c>
    </row>
    <row r="158" spans="1:5" ht="12.75">
      <c r="A158" s="3" t="s">
        <v>217</v>
      </c>
      <c r="B158" t="s">
        <v>218</v>
      </c>
      <c r="C158" t="s">
        <v>463</v>
      </c>
      <c r="E158" s="77">
        <v>35409.7</v>
      </c>
    </row>
    <row r="159" spans="1:5" ht="12.75">
      <c r="A159" s="3" t="s">
        <v>219</v>
      </c>
      <c r="B159" t="s">
        <v>220</v>
      </c>
      <c r="C159" t="s">
        <v>464</v>
      </c>
      <c r="E159" s="77">
        <v>0</v>
      </c>
    </row>
    <row r="160" spans="1:5" ht="12.75">
      <c r="A160" s="3" t="s">
        <v>221</v>
      </c>
      <c r="B160" t="s">
        <v>220</v>
      </c>
      <c r="C160" t="s">
        <v>465</v>
      </c>
      <c r="E160" s="77">
        <v>0</v>
      </c>
    </row>
    <row r="161" spans="1:5" ht="12.75">
      <c r="A161" s="3" t="s">
        <v>222</v>
      </c>
      <c r="B161" t="s">
        <v>223</v>
      </c>
      <c r="C161" t="s">
        <v>466</v>
      </c>
      <c r="E161" s="77">
        <v>0</v>
      </c>
    </row>
    <row r="162" spans="1:5" ht="12.75">
      <c r="A162" s="3" t="s">
        <v>224</v>
      </c>
      <c r="B162" t="s">
        <v>223</v>
      </c>
      <c r="C162" t="s">
        <v>467</v>
      </c>
      <c r="E162" s="77">
        <v>0</v>
      </c>
    </row>
    <row r="163" spans="1:5" ht="12.75">
      <c r="A163" s="3" t="s">
        <v>225</v>
      </c>
      <c r="B163" t="s">
        <v>223</v>
      </c>
      <c r="C163" t="s">
        <v>468</v>
      </c>
      <c r="E163" s="77">
        <v>0</v>
      </c>
    </row>
    <row r="164" spans="1:5" ht="12.75">
      <c r="A164" s="3" t="s">
        <v>226</v>
      </c>
      <c r="B164" t="s">
        <v>223</v>
      </c>
      <c r="C164" t="s">
        <v>469</v>
      </c>
      <c r="E164" s="77">
        <v>0</v>
      </c>
    </row>
    <row r="165" spans="1:5" ht="12.75">
      <c r="A165" s="3" t="s">
        <v>227</v>
      </c>
      <c r="B165" t="s">
        <v>223</v>
      </c>
      <c r="C165" t="s">
        <v>470</v>
      </c>
      <c r="E165" s="77">
        <v>33366.46</v>
      </c>
    </row>
    <row r="166" spans="1:5" ht="12.75">
      <c r="A166" s="3" t="s">
        <v>228</v>
      </c>
      <c r="B166" t="s">
        <v>229</v>
      </c>
      <c r="C166" t="s">
        <v>495</v>
      </c>
      <c r="E166" s="77">
        <v>0</v>
      </c>
    </row>
    <row r="167" spans="1:5" ht="12.75">
      <c r="A167" s="3" t="s">
        <v>230</v>
      </c>
      <c r="B167" t="s">
        <v>229</v>
      </c>
      <c r="C167" t="s">
        <v>471</v>
      </c>
      <c r="E167" s="77">
        <v>0</v>
      </c>
    </row>
    <row r="168" spans="1:5" ht="12.75">
      <c r="A168" s="3" t="s">
        <v>231</v>
      </c>
      <c r="B168" t="s">
        <v>229</v>
      </c>
      <c r="C168" t="s">
        <v>472</v>
      </c>
      <c r="E168" s="77">
        <v>98059.32</v>
      </c>
    </row>
    <row r="169" spans="1:5" ht="12.75">
      <c r="A169" s="3" t="s">
        <v>232</v>
      </c>
      <c r="B169" t="s">
        <v>229</v>
      </c>
      <c r="C169" t="s">
        <v>473</v>
      </c>
      <c r="E169" s="77">
        <v>0</v>
      </c>
    </row>
    <row r="170" spans="1:5" ht="12.75">
      <c r="A170" s="3" t="s">
        <v>233</v>
      </c>
      <c r="B170" t="s">
        <v>229</v>
      </c>
      <c r="C170" t="s">
        <v>474</v>
      </c>
      <c r="E170" s="77">
        <v>0</v>
      </c>
    </row>
    <row r="171" spans="1:5" ht="12.75">
      <c r="A171" s="3" t="s">
        <v>234</v>
      </c>
      <c r="B171" t="s">
        <v>229</v>
      </c>
      <c r="C171" t="s">
        <v>475</v>
      </c>
      <c r="E171" s="77">
        <v>301535.88</v>
      </c>
    </row>
    <row r="172" spans="1:5" ht="12.75">
      <c r="A172" s="3" t="s">
        <v>235</v>
      </c>
      <c r="B172" t="s">
        <v>229</v>
      </c>
      <c r="C172" t="s">
        <v>476</v>
      </c>
      <c r="E172" s="77">
        <v>0</v>
      </c>
    </row>
    <row r="173" spans="1:5" ht="12.75">
      <c r="A173" s="3" t="s">
        <v>236</v>
      </c>
      <c r="B173" t="s">
        <v>229</v>
      </c>
      <c r="C173" t="s">
        <v>477</v>
      </c>
      <c r="E173" s="77">
        <v>63030.35</v>
      </c>
    </row>
    <row r="174" spans="1:5" ht="12.75">
      <c r="A174" s="3" t="s">
        <v>237</v>
      </c>
      <c r="B174" t="s">
        <v>229</v>
      </c>
      <c r="C174" t="s">
        <v>478</v>
      </c>
      <c r="E174" s="77">
        <v>0</v>
      </c>
    </row>
    <row r="175" spans="1:5" ht="12.75">
      <c r="A175" s="3" t="s">
        <v>238</v>
      </c>
      <c r="B175" t="s">
        <v>229</v>
      </c>
      <c r="C175" t="s">
        <v>479</v>
      </c>
      <c r="E175" s="77">
        <v>0</v>
      </c>
    </row>
    <row r="176" spans="1:5" ht="12.75">
      <c r="A176" s="3" t="s">
        <v>239</v>
      </c>
      <c r="B176" t="s">
        <v>229</v>
      </c>
      <c r="C176" t="s">
        <v>480</v>
      </c>
      <c r="E176" s="77">
        <v>0</v>
      </c>
    </row>
    <row r="177" spans="1:5" ht="12.75">
      <c r="A177" s="3" t="s">
        <v>240</v>
      </c>
      <c r="B177" t="s">
        <v>229</v>
      </c>
      <c r="C177" t="s">
        <v>481</v>
      </c>
      <c r="E177" s="77">
        <v>0</v>
      </c>
    </row>
    <row r="178" spans="1:5" ht="12.75">
      <c r="A178" s="3">
        <v>3200</v>
      </c>
      <c r="B178" t="s">
        <v>241</v>
      </c>
      <c r="C178" t="s">
        <v>242</v>
      </c>
      <c r="E178" s="77">
        <v>56820.69</v>
      </c>
    </row>
    <row r="179" spans="1:5" ht="12.75">
      <c r="A179" s="3">
        <v>3210</v>
      </c>
      <c r="B179" t="s">
        <v>241</v>
      </c>
      <c r="C179" t="s">
        <v>243</v>
      </c>
      <c r="E179" s="77">
        <v>0</v>
      </c>
    </row>
    <row r="180" spans="1:5" ht="12.75">
      <c r="A180" s="3">
        <v>3220</v>
      </c>
      <c r="B180" t="s">
        <v>241</v>
      </c>
      <c r="C180" t="s">
        <v>244</v>
      </c>
      <c r="E180" s="77">
        <v>0</v>
      </c>
    </row>
    <row r="181" spans="1:5" ht="12.75">
      <c r="A181" s="3">
        <v>3230</v>
      </c>
      <c r="B181" t="s">
        <v>241</v>
      </c>
      <c r="C181" t="s">
        <v>245</v>
      </c>
      <c r="E181" s="77">
        <v>0</v>
      </c>
    </row>
    <row r="182" spans="1:5" ht="12.75">
      <c r="A182" s="3">
        <v>8001</v>
      </c>
      <c r="B182" s="32" t="s">
        <v>303</v>
      </c>
      <c r="C182" s="58" t="s">
        <v>304</v>
      </c>
      <c r="E182" s="77">
        <v>0</v>
      </c>
    </row>
    <row r="183" spans="1:5" ht="12.75">
      <c r="A183" s="108">
        <v>8041</v>
      </c>
      <c r="B183" s="108">
        <v>8041</v>
      </c>
      <c r="C183" s="109" t="s">
        <v>523</v>
      </c>
      <c r="D183" s="49"/>
      <c r="E183" s="77">
        <v>0</v>
      </c>
    </row>
    <row r="184" spans="1:5" ht="12.75">
      <c r="A184" s="108">
        <v>8042</v>
      </c>
      <c r="B184" s="108">
        <v>8042</v>
      </c>
      <c r="C184" s="109" t="s">
        <v>524</v>
      </c>
      <c r="D184" s="49"/>
      <c r="E184" s="77">
        <v>0</v>
      </c>
    </row>
    <row r="185" spans="1:5" ht="12.75">
      <c r="A185" s="108">
        <v>9025</v>
      </c>
      <c r="B185" s="108">
        <v>9025</v>
      </c>
      <c r="C185" s="109" t="s">
        <v>247</v>
      </c>
      <c r="D185" s="49"/>
      <c r="E185" s="77">
        <v>0</v>
      </c>
    </row>
    <row r="186" spans="1:5" ht="12.75">
      <c r="A186" s="3">
        <v>9030</v>
      </c>
      <c r="B186" s="3">
        <v>9030</v>
      </c>
      <c r="C186" t="s">
        <v>248</v>
      </c>
      <c r="E186" s="77">
        <v>0</v>
      </c>
    </row>
    <row r="187" spans="1:5" ht="12.75">
      <c r="A187" s="3">
        <v>9035</v>
      </c>
      <c r="B187" s="3">
        <v>9035</v>
      </c>
      <c r="C187" t="s">
        <v>249</v>
      </c>
      <c r="E187" s="77">
        <v>0</v>
      </c>
    </row>
    <row r="188" spans="1:5" ht="12.75">
      <c r="A188" s="3">
        <v>9040</v>
      </c>
      <c r="B188" s="3">
        <v>9040</v>
      </c>
      <c r="C188" t="s">
        <v>250</v>
      </c>
      <c r="E188" s="77">
        <v>0</v>
      </c>
    </row>
    <row r="189" spans="1:5" ht="12.75">
      <c r="A189" s="3">
        <v>9045</v>
      </c>
      <c r="B189" s="3">
        <v>9045</v>
      </c>
      <c r="C189" t="s">
        <v>251</v>
      </c>
      <c r="E189" s="77">
        <v>0</v>
      </c>
    </row>
    <row r="190" spans="1:5" ht="12.75">
      <c r="A190" s="3">
        <v>9050</v>
      </c>
      <c r="B190" s="3">
        <v>9050</v>
      </c>
      <c r="C190" t="s">
        <v>252</v>
      </c>
      <c r="E190" s="77">
        <v>0</v>
      </c>
    </row>
    <row r="191" spans="1:5" ht="12.75">
      <c r="A191" s="3">
        <v>9055</v>
      </c>
      <c r="B191" s="3">
        <v>9055</v>
      </c>
      <c r="C191" t="s">
        <v>253</v>
      </c>
      <c r="E191" s="77">
        <v>0</v>
      </c>
    </row>
    <row r="192" spans="1:5" ht="12.75">
      <c r="A192" s="3">
        <v>9060</v>
      </c>
      <c r="B192" s="3">
        <v>9060</v>
      </c>
      <c r="C192" t="s">
        <v>254</v>
      </c>
      <c r="E192" s="77">
        <v>0</v>
      </c>
    </row>
    <row r="193" spans="1:5" ht="12.75">
      <c r="A193" s="3">
        <v>9075</v>
      </c>
      <c r="B193" s="3">
        <v>9075</v>
      </c>
      <c r="C193" t="s">
        <v>255</v>
      </c>
      <c r="E193" s="77">
        <v>0</v>
      </c>
    </row>
    <row r="194" spans="1:5" ht="12.75">
      <c r="A194" s="3">
        <v>9095</v>
      </c>
      <c r="B194" s="3">
        <v>9095</v>
      </c>
      <c r="C194" t="s">
        <v>256</v>
      </c>
      <c r="E194" s="77">
        <v>0</v>
      </c>
    </row>
    <row r="195" spans="1:5" ht="12.75">
      <c r="A195" s="3">
        <v>9120</v>
      </c>
      <c r="B195" s="3">
        <v>9120</v>
      </c>
      <c r="C195" t="s">
        <v>257</v>
      </c>
      <c r="E195" s="77">
        <v>0</v>
      </c>
    </row>
    <row r="196" spans="1:5" ht="12.75">
      <c r="A196" s="3">
        <v>9125</v>
      </c>
      <c r="B196" s="3">
        <v>9125</v>
      </c>
      <c r="C196" t="s">
        <v>258</v>
      </c>
      <c r="E196" s="77">
        <v>0</v>
      </c>
    </row>
    <row r="197" spans="1:5" ht="12.75">
      <c r="A197" s="3">
        <v>9130</v>
      </c>
      <c r="B197" s="3">
        <v>9130</v>
      </c>
      <c r="C197" t="s">
        <v>482</v>
      </c>
      <c r="E197" s="77">
        <v>0</v>
      </c>
    </row>
    <row r="198" spans="1:5" ht="12.75">
      <c r="A198" s="3">
        <v>9135</v>
      </c>
      <c r="B198" s="3">
        <v>9135</v>
      </c>
      <c r="C198" t="s">
        <v>483</v>
      </c>
      <c r="E198" s="77">
        <v>0</v>
      </c>
    </row>
    <row r="199" spans="1:5" ht="12.75">
      <c r="A199" s="3">
        <v>9140</v>
      </c>
      <c r="B199" s="3">
        <v>9140</v>
      </c>
      <c r="C199" t="s">
        <v>259</v>
      </c>
      <c r="E199" s="77">
        <v>0</v>
      </c>
    </row>
    <row r="200" spans="1:5" ht="12.75">
      <c r="A200" s="3">
        <v>9145</v>
      </c>
      <c r="B200" s="3">
        <v>9145</v>
      </c>
      <c r="C200" t="s">
        <v>260</v>
      </c>
      <c r="E200" s="77">
        <v>0</v>
      </c>
    </row>
    <row r="201" spans="1:5" ht="12.75">
      <c r="A201" s="3">
        <v>9150</v>
      </c>
      <c r="B201" s="3">
        <v>9150</v>
      </c>
      <c r="C201" t="s">
        <v>261</v>
      </c>
      <c r="E201" s="77">
        <v>0</v>
      </c>
    </row>
    <row r="202" spans="1:5" ht="12.75">
      <c r="A202" s="3">
        <v>9160</v>
      </c>
      <c r="B202" s="3">
        <v>9160</v>
      </c>
      <c r="C202" t="s">
        <v>262</v>
      </c>
      <c r="E202" s="77">
        <v>0</v>
      </c>
    </row>
    <row r="203" spans="1:5" ht="12.75">
      <c r="A203" s="3">
        <v>9165</v>
      </c>
      <c r="B203" s="3">
        <v>9165</v>
      </c>
      <c r="C203" t="s">
        <v>484</v>
      </c>
      <c r="E203" s="77">
        <v>0</v>
      </c>
    </row>
    <row r="204" spans="1:5" ht="12.75">
      <c r="A204" s="3">
        <v>9170</v>
      </c>
      <c r="B204" s="3">
        <v>9170</v>
      </c>
      <c r="C204" t="s">
        <v>537</v>
      </c>
      <c r="E204" s="77">
        <v>0</v>
      </c>
    </row>
    <row r="205" spans="1:5" ht="12.75">
      <c r="A205" s="3">
        <v>9175</v>
      </c>
      <c r="B205" s="3">
        <v>9175</v>
      </c>
      <c r="C205" t="s">
        <v>538</v>
      </c>
      <c r="E205" s="77">
        <v>0</v>
      </c>
    </row>
    <row r="206" ht="12.75">
      <c r="E206" s="64"/>
    </row>
    <row r="207" spans="3:5" ht="12.75">
      <c r="C207" t="s">
        <v>500</v>
      </c>
      <c r="E207" s="77">
        <f>SUM(E4:E206)</f>
        <v>8548200.319999998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2018-19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A4" sqref="A4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4.8515625" style="0" customWidth="1"/>
    <col min="5" max="5" width="13.28125" style="0" customWidth="1"/>
    <col min="6" max="6" width="16.00390625" style="0" bestFit="1" customWidth="1"/>
    <col min="7" max="7" width="10.140625" style="0" bestFit="1" customWidth="1"/>
  </cols>
  <sheetData>
    <row r="1" spans="1:6" s="13" customFormat="1" ht="38.25">
      <c r="A1" s="12" t="s">
        <v>0</v>
      </c>
      <c r="B1" s="13" t="s">
        <v>1</v>
      </c>
      <c r="C1" s="13" t="s">
        <v>2</v>
      </c>
      <c r="D1" s="106" t="s">
        <v>532</v>
      </c>
      <c r="E1" s="107" t="s">
        <v>533</v>
      </c>
      <c r="F1" s="97" t="s">
        <v>513</v>
      </c>
    </row>
    <row r="2" spans="1:6" ht="12.75">
      <c r="A2" s="3"/>
      <c r="D2" s="104" t="s">
        <v>505</v>
      </c>
      <c r="E2" s="104" t="s">
        <v>505</v>
      </c>
      <c r="F2" s="104"/>
    </row>
    <row r="3" spans="1:6" ht="12.75">
      <c r="A3" s="3"/>
      <c r="D3" s="104" t="s">
        <v>506</v>
      </c>
      <c r="E3" s="104" t="s">
        <v>506</v>
      </c>
      <c r="F3" s="104"/>
    </row>
    <row r="4" spans="1:6" ht="12.75">
      <c r="A4" s="3"/>
      <c r="F4" s="9"/>
    </row>
    <row r="5" spans="1:6" ht="12.75">
      <c r="A5" s="3" t="s">
        <v>5</v>
      </c>
      <c r="B5" t="s">
        <v>6</v>
      </c>
      <c r="C5" t="s">
        <v>309</v>
      </c>
      <c r="D5" s="121">
        <v>336992.51</v>
      </c>
      <c r="E5" s="121">
        <v>37136.098</v>
      </c>
      <c r="F5" s="122">
        <f>SUM(D5:E5)</f>
        <v>374128.608</v>
      </c>
    </row>
    <row r="6" spans="1:6" ht="12.75">
      <c r="A6" s="3" t="s">
        <v>7</v>
      </c>
      <c r="B6" t="s">
        <v>6</v>
      </c>
      <c r="C6" t="s">
        <v>310</v>
      </c>
      <c r="D6" s="121">
        <v>1052038.4</v>
      </c>
      <c r="E6" s="121">
        <v>114995.17599999998</v>
      </c>
      <c r="F6" s="122">
        <f aca="true" t="shared" si="0" ref="F6:F69">SUM(D6:E6)</f>
        <v>1167033.576</v>
      </c>
    </row>
    <row r="7" spans="1:6" ht="12.75">
      <c r="A7" s="3" t="s">
        <v>8</v>
      </c>
      <c r="B7" t="s">
        <v>6</v>
      </c>
      <c r="C7" t="s">
        <v>311</v>
      </c>
      <c r="D7" s="121">
        <v>452256.26</v>
      </c>
      <c r="E7" s="121">
        <v>48971.788</v>
      </c>
      <c r="F7" s="122">
        <f t="shared" si="0"/>
        <v>501228.048</v>
      </c>
    </row>
    <row r="8" spans="1:6" ht="12.75">
      <c r="A8" s="3" t="s">
        <v>9</v>
      </c>
      <c r="B8" t="s">
        <v>6</v>
      </c>
      <c r="C8" t="s">
        <v>312</v>
      </c>
      <c r="D8" s="121">
        <v>359575.99</v>
      </c>
      <c r="E8" s="121">
        <v>39646.610000000044</v>
      </c>
      <c r="F8" s="122">
        <f t="shared" si="0"/>
        <v>399222.60000000003</v>
      </c>
    </row>
    <row r="9" spans="1:6" ht="12.75">
      <c r="A9" s="3" t="s">
        <v>10</v>
      </c>
      <c r="B9" t="s">
        <v>6</v>
      </c>
      <c r="C9" t="s">
        <v>313</v>
      </c>
      <c r="D9" s="121">
        <v>18477.4</v>
      </c>
      <c r="E9" s="121">
        <v>2054.047999999999</v>
      </c>
      <c r="F9" s="122">
        <f t="shared" si="0"/>
        <v>20531.448</v>
      </c>
    </row>
    <row r="10" spans="1:6" ht="12.75">
      <c r="A10" s="3" t="s">
        <v>11</v>
      </c>
      <c r="B10" t="s">
        <v>6</v>
      </c>
      <c r="C10" t="s">
        <v>314</v>
      </c>
      <c r="D10" s="121">
        <v>8798.76</v>
      </c>
      <c r="E10" s="121">
        <v>978.1200000000008</v>
      </c>
      <c r="F10" s="122">
        <f t="shared" si="0"/>
        <v>9776.880000000001</v>
      </c>
    </row>
    <row r="11" spans="1:6" ht="12.75">
      <c r="A11" s="3" t="s">
        <v>12</v>
      </c>
      <c r="B11" t="s">
        <v>6</v>
      </c>
      <c r="C11" t="s">
        <v>315</v>
      </c>
      <c r="D11" s="121">
        <v>482465.34</v>
      </c>
      <c r="E11" s="121">
        <v>53307.68399999995</v>
      </c>
      <c r="F11" s="122">
        <f t="shared" si="0"/>
        <v>535773.024</v>
      </c>
    </row>
    <row r="12" spans="1:6" ht="12.75">
      <c r="A12" s="3" t="s">
        <v>13</v>
      </c>
      <c r="B12" t="s">
        <v>14</v>
      </c>
      <c r="C12" t="s">
        <v>316</v>
      </c>
      <c r="D12" s="121">
        <v>55138.9</v>
      </c>
      <c r="E12" s="121">
        <v>6129.5480000000025</v>
      </c>
      <c r="F12" s="122">
        <f t="shared" si="0"/>
        <v>61268.448000000004</v>
      </c>
    </row>
    <row r="13" spans="1:6" ht="12.75">
      <c r="A13" s="3" t="s">
        <v>15</v>
      </c>
      <c r="B13" t="s">
        <v>14</v>
      </c>
      <c r="C13" t="s">
        <v>317</v>
      </c>
      <c r="D13" s="121">
        <v>2639.63</v>
      </c>
      <c r="E13" s="121">
        <v>293.4340000000002</v>
      </c>
      <c r="F13" s="122">
        <f t="shared" si="0"/>
        <v>2933.0640000000003</v>
      </c>
    </row>
    <row r="14" spans="1:6" ht="12.75">
      <c r="A14" s="3" t="s">
        <v>16</v>
      </c>
      <c r="B14" t="s">
        <v>17</v>
      </c>
      <c r="C14" t="s">
        <v>318</v>
      </c>
      <c r="D14" s="121">
        <v>53672.44</v>
      </c>
      <c r="E14" s="121">
        <v>5966.527999999998</v>
      </c>
      <c r="F14" s="122">
        <f t="shared" si="0"/>
        <v>59638.968</v>
      </c>
    </row>
    <row r="15" spans="1:6" ht="12.75">
      <c r="A15" s="3" t="s">
        <v>18</v>
      </c>
      <c r="B15" t="s">
        <v>17</v>
      </c>
      <c r="C15" t="s">
        <v>319</v>
      </c>
      <c r="D15" s="121">
        <v>70976.66</v>
      </c>
      <c r="E15" s="121">
        <v>7890.171999999991</v>
      </c>
      <c r="F15" s="122">
        <f t="shared" si="0"/>
        <v>78866.832</v>
      </c>
    </row>
    <row r="16" spans="1:6" ht="12.75">
      <c r="A16" s="3" t="s">
        <v>19</v>
      </c>
      <c r="B16" t="s">
        <v>17</v>
      </c>
      <c r="C16" t="s">
        <v>320</v>
      </c>
      <c r="D16" s="121">
        <v>1106297.42</v>
      </c>
      <c r="E16" s="121">
        <v>122656.39599999995</v>
      </c>
      <c r="F16" s="122">
        <f t="shared" si="0"/>
        <v>1228953.8159999999</v>
      </c>
    </row>
    <row r="17" spans="1:6" ht="12.75">
      <c r="A17" s="3" t="s">
        <v>20</v>
      </c>
      <c r="B17" t="s">
        <v>17</v>
      </c>
      <c r="C17" t="s">
        <v>321</v>
      </c>
      <c r="D17" s="121">
        <v>106171.7</v>
      </c>
      <c r="E17" s="121">
        <v>11476.756000000008</v>
      </c>
      <c r="F17" s="122">
        <f t="shared" si="0"/>
        <v>117648.456</v>
      </c>
    </row>
    <row r="18" spans="1:6" ht="12.75">
      <c r="A18" s="3" t="s">
        <v>21</v>
      </c>
      <c r="B18" t="s">
        <v>17</v>
      </c>
      <c r="C18" t="s">
        <v>322</v>
      </c>
      <c r="D18" s="121">
        <v>4106.09</v>
      </c>
      <c r="E18" s="121">
        <v>456.4539999999997</v>
      </c>
      <c r="F18" s="122">
        <f t="shared" si="0"/>
        <v>4562.544</v>
      </c>
    </row>
    <row r="19" spans="1:6" ht="12.75">
      <c r="A19" s="3" t="s">
        <v>22</v>
      </c>
      <c r="B19" t="s">
        <v>17</v>
      </c>
      <c r="C19" t="s">
        <v>323</v>
      </c>
      <c r="D19" s="121">
        <v>2516445.36</v>
      </c>
      <c r="E19" s="121">
        <v>277786.94400000013</v>
      </c>
      <c r="F19" s="122">
        <f t="shared" si="0"/>
        <v>2794232.304</v>
      </c>
    </row>
    <row r="20" spans="1:6" ht="12.75">
      <c r="A20" s="3" t="s">
        <v>23</v>
      </c>
      <c r="B20" t="s">
        <v>17</v>
      </c>
      <c r="C20" t="s">
        <v>324</v>
      </c>
      <c r="D20" s="121">
        <v>71269.96</v>
      </c>
      <c r="E20" s="121">
        <v>7922.767999999996</v>
      </c>
      <c r="F20" s="122">
        <f t="shared" si="0"/>
        <v>79192.728</v>
      </c>
    </row>
    <row r="21" spans="1:6" ht="12.75">
      <c r="A21" s="3" t="s">
        <v>24</v>
      </c>
      <c r="B21" t="s">
        <v>25</v>
      </c>
      <c r="C21" t="s">
        <v>325</v>
      </c>
      <c r="D21" s="121">
        <v>21996.9</v>
      </c>
      <c r="E21" s="121">
        <v>2445.2999999999993</v>
      </c>
      <c r="F21" s="122">
        <f t="shared" si="0"/>
        <v>24442.2</v>
      </c>
    </row>
    <row r="22" spans="1:6" ht="12.75">
      <c r="A22" s="3" t="s">
        <v>26</v>
      </c>
      <c r="B22" t="s">
        <v>27</v>
      </c>
      <c r="C22" t="s">
        <v>326</v>
      </c>
      <c r="D22" s="121">
        <v>586.58</v>
      </c>
      <c r="E22" s="121">
        <v>65.21199999999999</v>
      </c>
      <c r="F22" s="122">
        <f t="shared" si="0"/>
        <v>651.792</v>
      </c>
    </row>
    <row r="23" spans="1:6" ht="12.75">
      <c r="A23" s="3" t="s">
        <v>28</v>
      </c>
      <c r="B23" t="s">
        <v>27</v>
      </c>
      <c r="C23" t="s">
        <v>327</v>
      </c>
      <c r="D23" s="121">
        <v>0</v>
      </c>
      <c r="E23" s="121">
        <v>0</v>
      </c>
      <c r="F23" s="122">
        <f t="shared" si="0"/>
        <v>0</v>
      </c>
    </row>
    <row r="24" spans="1:6" ht="12.75">
      <c r="A24" s="3" t="s">
        <v>29</v>
      </c>
      <c r="B24" t="s">
        <v>27</v>
      </c>
      <c r="C24" t="s">
        <v>328</v>
      </c>
      <c r="D24" s="121">
        <v>586.58</v>
      </c>
      <c r="E24" s="121">
        <v>65.21199999999999</v>
      </c>
      <c r="F24" s="122">
        <f t="shared" si="0"/>
        <v>651.792</v>
      </c>
    </row>
    <row r="25" spans="1:6" ht="12.75">
      <c r="A25" s="3" t="s">
        <v>30</v>
      </c>
      <c r="B25" t="s">
        <v>27</v>
      </c>
      <c r="C25" t="s">
        <v>329</v>
      </c>
      <c r="D25" s="121">
        <v>293.29</v>
      </c>
      <c r="E25" s="121">
        <v>32.605999999999995</v>
      </c>
      <c r="F25" s="122">
        <f t="shared" si="0"/>
        <v>325.896</v>
      </c>
    </row>
    <row r="26" spans="1:6" ht="12.75">
      <c r="A26" s="3" t="s">
        <v>31</v>
      </c>
      <c r="B26" t="s">
        <v>27</v>
      </c>
      <c r="C26" t="s">
        <v>330</v>
      </c>
      <c r="D26" s="121">
        <v>0</v>
      </c>
      <c r="E26" s="121">
        <v>0</v>
      </c>
      <c r="F26" s="122">
        <f t="shared" si="0"/>
        <v>0</v>
      </c>
    </row>
    <row r="27" spans="1:6" ht="12.75">
      <c r="A27" s="3" t="s">
        <v>32</v>
      </c>
      <c r="B27" t="s">
        <v>33</v>
      </c>
      <c r="C27" t="s">
        <v>331</v>
      </c>
      <c r="D27" s="121">
        <v>3226.21</v>
      </c>
      <c r="E27" s="121">
        <v>358.6460000000002</v>
      </c>
      <c r="F27" s="122">
        <f t="shared" si="0"/>
        <v>3584.856</v>
      </c>
    </row>
    <row r="28" spans="1:6" ht="12.75">
      <c r="A28" s="3" t="s">
        <v>35</v>
      </c>
      <c r="B28" t="s">
        <v>33</v>
      </c>
      <c r="C28" t="s">
        <v>332</v>
      </c>
      <c r="D28" s="121">
        <v>2932.92</v>
      </c>
      <c r="E28" s="121">
        <v>326.03999999999996</v>
      </c>
      <c r="F28" s="122">
        <f t="shared" si="0"/>
        <v>3258.96</v>
      </c>
    </row>
    <row r="29" spans="1:6" ht="12.75">
      <c r="A29" s="3" t="s">
        <v>36</v>
      </c>
      <c r="B29" t="s">
        <v>37</v>
      </c>
      <c r="C29" t="s">
        <v>333</v>
      </c>
      <c r="D29" s="121">
        <v>641136.31</v>
      </c>
      <c r="E29" s="121">
        <v>71272.3459999999</v>
      </c>
      <c r="F29" s="122">
        <f t="shared" si="0"/>
        <v>712408.656</v>
      </c>
    </row>
    <row r="30" spans="1:6" ht="12.75">
      <c r="A30" s="3" t="s">
        <v>38</v>
      </c>
      <c r="B30" t="s">
        <v>37</v>
      </c>
      <c r="C30" t="s">
        <v>334</v>
      </c>
      <c r="D30" s="121">
        <v>461055.02</v>
      </c>
      <c r="E30" s="121">
        <v>51253.49200000003</v>
      </c>
      <c r="F30" s="122">
        <f t="shared" si="0"/>
        <v>512308.51200000005</v>
      </c>
    </row>
    <row r="31" spans="1:6" ht="12.75">
      <c r="A31" s="3" t="s">
        <v>39</v>
      </c>
      <c r="B31" t="s">
        <v>40</v>
      </c>
      <c r="C31" t="s">
        <v>335</v>
      </c>
      <c r="D31" s="121">
        <v>2932.92</v>
      </c>
      <c r="E31" s="121">
        <v>326.0400000000004</v>
      </c>
      <c r="F31" s="122">
        <f t="shared" si="0"/>
        <v>3258.9600000000005</v>
      </c>
    </row>
    <row r="32" spans="1:6" ht="12.75">
      <c r="A32" s="3" t="s">
        <v>41</v>
      </c>
      <c r="B32" t="s">
        <v>40</v>
      </c>
      <c r="C32" t="s">
        <v>336</v>
      </c>
      <c r="D32" s="121">
        <v>5279.26</v>
      </c>
      <c r="E32" s="121">
        <v>586.8680000000004</v>
      </c>
      <c r="F32" s="122">
        <f t="shared" si="0"/>
        <v>5866.128000000001</v>
      </c>
    </row>
    <row r="33" spans="1:6" ht="12.75">
      <c r="A33" s="3" t="s">
        <v>42</v>
      </c>
      <c r="B33" t="s">
        <v>43</v>
      </c>
      <c r="C33" t="s">
        <v>337</v>
      </c>
      <c r="D33" s="121">
        <v>879.88</v>
      </c>
      <c r="E33" s="121">
        <v>97.8080000000001</v>
      </c>
      <c r="F33" s="122">
        <f t="shared" si="0"/>
        <v>977.6880000000001</v>
      </c>
    </row>
    <row r="34" spans="1:6" ht="12.75">
      <c r="A34" s="3" t="s">
        <v>45</v>
      </c>
      <c r="B34" t="s">
        <v>43</v>
      </c>
      <c r="C34" t="s">
        <v>338</v>
      </c>
      <c r="D34" s="121">
        <v>293.29</v>
      </c>
      <c r="E34" s="121">
        <v>32.605999999999995</v>
      </c>
      <c r="F34" s="122">
        <f t="shared" si="0"/>
        <v>325.896</v>
      </c>
    </row>
    <row r="35" spans="1:6" ht="12.75">
      <c r="A35" s="3" t="s">
        <v>46</v>
      </c>
      <c r="B35" t="s">
        <v>47</v>
      </c>
      <c r="C35" t="s">
        <v>339</v>
      </c>
      <c r="D35" s="121">
        <v>1173.17</v>
      </c>
      <c r="E35" s="121">
        <v>130.414</v>
      </c>
      <c r="F35" s="122">
        <f t="shared" si="0"/>
        <v>1303.584</v>
      </c>
    </row>
    <row r="36" spans="1:6" ht="12.75">
      <c r="A36" s="3" t="s">
        <v>48</v>
      </c>
      <c r="B36" t="s">
        <v>49</v>
      </c>
      <c r="C36" t="s">
        <v>340</v>
      </c>
      <c r="D36" s="121">
        <v>0</v>
      </c>
      <c r="E36" s="121">
        <v>0</v>
      </c>
      <c r="F36" s="122">
        <f t="shared" si="0"/>
        <v>0</v>
      </c>
    </row>
    <row r="37" spans="1:6" ht="12.75">
      <c r="A37" s="3" t="s">
        <v>50</v>
      </c>
      <c r="B37" t="s">
        <v>49</v>
      </c>
      <c r="C37" t="s">
        <v>341</v>
      </c>
      <c r="D37" s="121">
        <v>586.58</v>
      </c>
      <c r="E37" s="121">
        <v>65.21199999999999</v>
      </c>
      <c r="F37" s="122">
        <f t="shared" si="0"/>
        <v>651.792</v>
      </c>
    </row>
    <row r="38" spans="1:6" ht="12.75">
      <c r="A38" s="3" t="s">
        <v>51</v>
      </c>
      <c r="B38" t="s">
        <v>49</v>
      </c>
      <c r="C38" t="s">
        <v>342</v>
      </c>
      <c r="D38" s="121">
        <v>2346.34</v>
      </c>
      <c r="E38" s="121">
        <v>260.828</v>
      </c>
      <c r="F38" s="122">
        <f t="shared" si="0"/>
        <v>2607.168</v>
      </c>
    </row>
    <row r="39" spans="1:6" ht="12.75">
      <c r="A39" s="3" t="s">
        <v>52</v>
      </c>
      <c r="B39" t="s">
        <v>53</v>
      </c>
      <c r="C39" t="s">
        <v>343</v>
      </c>
      <c r="D39" s="121">
        <v>1173.17</v>
      </c>
      <c r="E39" s="121">
        <v>130.414</v>
      </c>
      <c r="F39" s="122">
        <f t="shared" si="0"/>
        <v>1303.584</v>
      </c>
    </row>
    <row r="40" spans="1:6" ht="12.75">
      <c r="A40" s="3" t="s">
        <v>54</v>
      </c>
      <c r="B40" t="s">
        <v>53</v>
      </c>
      <c r="C40" t="s">
        <v>344</v>
      </c>
      <c r="D40" s="121">
        <v>4399.38</v>
      </c>
      <c r="E40" s="121">
        <v>489.0600000000004</v>
      </c>
      <c r="F40" s="122">
        <f t="shared" si="0"/>
        <v>4888.4400000000005</v>
      </c>
    </row>
    <row r="41" spans="1:6" ht="12.75">
      <c r="A41" s="3" t="s">
        <v>55</v>
      </c>
      <c r="B41" t="s">
        <v>56</v>
      </c>
      <c r="C41" t="s">
        <v>345</v>
      </c>
      <c r="D41" s="121">
        <v>293.29</v>
      </c>
      <c r="E41" s="121">
        <v>32.605999999999995</v>
      </c>
      <c r="F41" s="122">
        <f t="shared" si="0"/>
        <v>325.896</v>
      </c>
    </row>
    <row r="42" spans="1:6" ht="12.75">
      <c r="A42" s="3" t="s">
        <v>57</v>
      </c>
      <c r="B42" t="s">
        <v>58</v>
      </c>
      <c r="C42" t="s">
        <v>346</v>
      </c>
      <c r="D42" s="121">
        <v>0</v>
      </c>
      <c r="E42" s="121">
        <v>0</v>
      </c>
      <c r="F42" s="122">
        <f t="shared" si="0"/>
        <v>0</v>
      </c>
    </row>
    <row r="43" spans="1:6" ht="12.75">
      <c r="A43" s="3" t="s">
        <v>59</v>
      </c>
      <c r="B43" t="s">
        <v>60</v>
      </c>
      <c r="C43" t="s">
        <v>347</v>
      </c>
      <c r="D43" s="121">
        <v>43700.51</v>
      </c>
      <c r="E43" s="121">
        <v>4857.993999999999</v>
      </c>
      <c r="F43" s="122">
        <f t="shared" si="0"/>
        <v>48558.504</v>
      </c>
    </row>
    <row r="44" spans="1:6" ht="12.75">
      <c r="A44" s="3" t="s">
        <v>61</v>
      </c>
      <c r="B44" t="s">
        <v>62</v>
      </c>
      <c r="C44" t="s">
        <v>348</v>
      </c>
      <c r="D44" s="121">
        <v>4131604.4</v>
      </c>
      <c r="E44" s="121">
        <v>456359.48800000036</v>
      </c>
      <c r="F44" s="122">
        <f t="shared" si="0"/>
        <v>4587963.888</v>
      </c>
    </row>
    <row r="45" spans="1:6" ht="12.75">
      <c r="A45" s="3" t="s">
        <v>63</v>
      </c>
      <c r="B45" t="s">
        <v>64</v>
      </c>
      <c r="C45" t="s">
        <v>349</v>
      </c>
      <c r="D45" s="121">
        <v>0</v>
      </c>
      <c r="E45" s="121">
        <v>0</v>
      </c>
      <c r="F45" s="122">
        <f t="shared" si="0"/>
        <v>0</v>
      </c>
    </row>
    <row r="46" spans="1:6" ht="12.75">
      <c r="A46" s="3" t="s">
        <v>65</v>
      </c>
      <c r="B46" t="s">
        <v>66</v>
      </c>
      <c r="C46" t="s">
        <v>350</v>
      </c>
      <c r="D46" s="121">
        <v>645828.98</v>
      </c>
      <c r="E46" s="121">
        <v>71794.01199999999</v>
      </c>
      <c r="F46" s="122">
        <f t="shared" si="0"/>
        <v>717622.992</v>
      </c>
    </row>
    <row r="47" spans="1:6" ht="12.75">
      <c r="A47" s="3" t="s">
        <v>67</v>
      </c>
      <c r="B47" t="s">
        <v>68</v>
      </c>
      <c r="C47" t="s">
        <v>351</v>
      </c>
      <c r="D47" s="121">
        <v>326140.7</v>
      </c>
      <c r="E47" s="121">
        <v>36255.652</v>
      </c>
      <c r="F47" s="122">
        <f t="shared" si="0"/>
        <v>362396.352</v>
      </c>
    </row>
    <row r="48" spans="1:6" ht="12.75">
      <c r="A48" s="3" t="s">
        <v>69</v>
      </c>
      <c r="B48" t="s">
        <v>70</v>
      </c>
      <c r="C48" t="s">
        <v>352</v>
      </c>
      <c r="D48" s="121">
        <v>3812.8</v>
      </c>
      <c r="E48" s="121">
        <v>423.84799999999996</v>
      </c>
      <c r="F48" s="122">
        <f t="shared" si="0"/>
        <v>4236.648</v>
      </c>
    </row>
    <row r="49" spans="1:6" ht="12.75">
      <c r="A49" s="3" t="s">
        <v>71</v>
      </c>
      <c r="B49" t="s">
        <v>70</v>
      </c>
      <c r="C49" t="s">
        <v>353</v>
      </c>
      <c r="D49" s="121">
        <v>879.88</v>
      </c>
      <c r="E49" s="121">
        <v>-228.08799999999997</v>
      </c>
      <c r="F49" s="122">
        <f t="shared" si="0"/>
        <v>651.792</v>
      </c>
    </row>
    <row r="50" spans="1:6" ht="12.75">
      <c r="A50" s="3" t="s">
        <v>73</v>
      </c>
      <c r="B50" t="s">
        <v>70</v>
      </c>
      <c r="C50" t="s">
        <v>354</v>
      </c>
      <c r="D50" s="121">
        <v>293.29</v>
      </c>
      <c r="E50" s="121">
        <v>32.605999999999995</v>
      </c>
      <c r="F50" s="122">
        <f t="shared" si="0"/>
        <v>325.896</v>
      </c>
    </row>
    <row r="51" spans="1:6" ht="12.75">
      <c r="A51" s="3" t="s">
        <v>74</v>
      </c>
      <c r="B51" t="s">
        <v>70</v>
      </c>
      <c r="C51" t="s">
        <v>355</v>
      </c>
      <c r="D51" s="121">
        <v>0</v>
      </c>
      <c r="E51" s="121">
        <v>0</v>
      </c>
      <c r="F51" s="122">
        <f t="shared" si="0"/>
        <v>0</v>
      </c>
    </row>
    <row r="52" spans="1:6" ht="12.75">
      <c r="A52" s="3" t="s">
        <v>75</v>
      </c>
      <c r="B52" t="s">
        <v>70</v>
      </c>
      <c r="C52" t="s">
        <v>356</v>
      </c>
      <c r="D52" s="121">
        <v>0</v>
      </c>
      <c r="E52" s="121">
        <v>0</v>
      </c>
      <c r="F52" s="122">
        <f t="shared" si="0"/>
        <v>0</v>
      </c>
    </row>
    <row r="53" spans="1:6" ht="12.75">
      <c r="A53" s="3" t="s">
        <v>76</v>
      </c>
      <c r="B53" t="s">
        <v>77</v>
      </c>
      <c r="C53" t="s">
        <v>357</v>
      </c>
      <c r="D53" s="121">
        <v>1173.17</v>
      </c>
      <c r="E53" s="121">
        <v>130.414</v>
      </c>
      <c r="F53" s="122">
        <f t="shared" si="0"/>
        <v>1303.584</v>
      </c>
    </row>
    <row r="54" spans="1:6" ht="12.75">
      <c r="A54" s="3" t="s">
        <v>78</v>
      </c>
      <c r="B54" t="s">
        <v>77</v>
      </c>
      <c r="C54" t="s">
        <v>358</v>
      </c>
      <c r="D54" s="121">
        <v>342565.06</v>
      </c>
      <c r="E54" s="121">
        <v>37429.676000000036</v>
      </c>
      <c r="F54" s="122">
        <f t="shared" si="0"/>
        <v>379994.73600000003</v>
      </c>
    </row>
    <row r="55" spans="1:6" ht="12.75">
      <c r="A55" s="3" t="s">
        <v>79</v>
      </c>
      <c r="B55" t="s">
        <v>77</v>
      </c>
      <c r="C55" t="s">
        <v>359</v>
      </c>
      <c r="D55" s="121">
        <v>36954.79</v>
      </c>
      <c r="E55" s="121">
        <v>4108.106</v>
      </c>
      <c r="F55" s="122">
        <f t="shared" si="0"/>
        <v>41062.896</v>
      </c>
    </row>
    <row r="56" spans="1:6" ht="12.75">
      <c r="A56" s="3" t="s">
        <v>80</v>
      </c>
      <c r="B56" t="s">
        <v>77</v>
      </c>
      <c r="C56" t="s">
        <v>360</v>
      </c>
      <c r="D56" s="121">
        <v>110571.08</v>
      </c>
      <c r="E56" s="121">
        <v>11965.816000000006</v>
      </c>
      <c r="F56" s="122">
        <f t="shared" si="0"/>
        <v>122536.89600000001</v>
      </c>
    </row>
    <row r="57" spans="1:6" ht="12.75">
      <c r="A57" s="3" t="s">
        <v>81</v>
      </c>
      <c r="B57" t="s">
        <v>77</v>
      </c>
      <c r="C57" t="s">
        <v>361</v>
      </c>
      <c r="D57" s="121">
        <v>399170.41</v>
      </c>
      <c r="E57" s="121">
        <v>43722.25400000007</v>
      </c>
      <c r="F57" s="122">
        <f t="shared" si="0"/>
        <v>442892.66400000005</v>
      </c>
    </row>
    <row r="58" spans="1:6" ht="12.75">
      <c r="A58" s="3" t="s">
        <v>82</v>
      </c>
      <c r="B58" t="s">
        <v>77</v>
      </c>
      <c r="C58" t="s">
        <v>362</v>
      </c>
      <c r="D58" s="121">
        <v>31675.54</v>
      </c>
      <c r="E58" s="121">
        <v>3521.2279999999955</v>
      </c>
      <c r="F58" s="122">
        <f t="shared" si="0"/>
        <v>35196.768</v>
      </c>
    </row>
    <row r="59" spans="1:6" ht="12.75">
      <c r="A59" s="3" t="s">
        <v>83</v>
      </c>
      <c r="B59" t="s">
        <v>77</v>
      </c>
      <c r="C59" t="s">
        <v>363</v>
      </c>
      <c r="D59" s="121">
        <v>2346.34</v>
      </c>
      <c r="E59" s="121">
        <v>260.828</v>
      </c>
      <c r="F59" s="122">
        <f t="shared" si="0"/>
        <v>2607.168</v>
      </c>
    </row>
    <row r="60" spans="1:6" ht="12.75">
      <c r="A60" s="3" t="s">
        <v>84</v>
      </c>
      <c r="B60" t="s">
        <v>77</v>
      </c>
      <c r="C60" t="s">
        <v>364</v>
      </c>
      <c r="D60" s="121">
        <v>143713.08</v>
      </c>
      <c r="E60" s="121">
        <v>15975.960000000021</v>
      </c>
      <c r="F60" s="122">
        <f t="shared" si="0"/>
        <v>159689.04</v>
      </c>
    </row>
    <row r="61" spans="1:6" ht="12.75">
      <c r="A61" s="3" t="s">
        <v>85</v>
      </c>
      <c r="B61" t="s">
        <v>77</v>
      </c>
      <c r="C61" t="s">
        <v>365</v>
      </c>
      <c r="D61" s="121">
        <v>14664.6</v>
      </c>
      <c r="E61" s="121">
        <v>1630.199999999999</v>
      </c>
      <c r="F61" s="122">
        <f t="shared" si="0"/>
        <v>16294.8</v>
      </c>
    </row>
    <row r="62" spans="1:6" ht="12.75">
      <c r="A62" s="3" t="s">
        <v>86</v>
      </c>
      <c r="B62" t="s">
        <v>77</v>
      </c>
      <c r="C62" t="s">
        <v>366</v>
      </c>
      <c r="D62" s="121">
        <v>1759.75</v>
      </c>
      <c r="E62" s="121">
        <v>195.6260000000002</v>
      </c>
      <c r="F62" s="122">
        <f t="shared" si="0"/>
        <v>1955.3760000000002</v>
      </c>
    </row>
    <row r="63" spans="1:6" ht="12.75">
      <c r="A63" s="3" t="s">
        <v>87</v>
      </c>
      <c r="B63" t="s">
        <v>77</v>
      </c>
      <c r="C63" t="s">
        <v>367</v>
      </c>
      <c r="D63" s="121">
        <v>7918.88</v>
      </c>
      <c r="E63" s="121">
        <v>880.3120000000008</v>
      </c>
      <c r="F63" s="122">
        <f t="shared" si="0"/>
        <v>8799.192000000001</v>
      </c>
    </row>
    <row r="64" spans="1:6" ht="12.75">
      <c r="A64" s="3" t="s">
        <v>88</v>
      </c>
      <c r="B64" t="s">
        <v>77</v>
      </c>
      <c r="C64" t="s">
        <v>368</v>
      </c>
      <c r="D64" s="121">
        <v>35488.33</v>
      </c>
      <c r="E64" s="121">
        <v>3945.0859999999957</v>
      </c>
      <c r="F64" s="122">
        <f t="shared" si="0"/>
        <v>39433.416</v>
      </c>
    </row>
    <row r="65" spans="1:6" ht="12.75">
      <c r="A65" s="3" t="s">
        <v>89</v>
      </c>
      <c r="B65" t="s">
        <v>77</v>
      </c>
      <c r="C65" t="s">
        <v>369</v>
      </c>
      <c r="D65" s="121">
        <v>185067.25</v>
      </c>
      <c r="E65" s="121">
        <v>38823.301999999996</v>
      </c>
      <c r="F65" s="122">
        <f t="shared" si="0"/>
        <v>223890.552</v>
      </c>
    </row>
    <row r="66" spans="1:6" ht="12.75">
      <c r="A66" s="3" t="s">
        <v>90</v>
      </c>
      <c r="B66" t="s">
        <v>77</v>
      </c>
      <c r="C66" t="s">
        <v>370</v>
      </c>
      <c r="D66" s="121">
        <v>2053.04</v>
      </c>
      <c r="E66" s="121">
        <v>228.23199999999997</v>
      </c>
      <c r="F66" s="122">
        <f t="shared" si="0"/>
        <v>2281.272</v>
      </c>
    </row>
    <row r="67" spans="1:6" ht="12.75">
      <c r="A67" s="3" t="s">
        <v>91</v>
      </c>
      <c r="B67" t="s">
        <v>77</v>
      </c>
      <c r="C67" t="s">
        <v>371</v>
      </c>
      <c r="D67" s="121">
        <v>2053.04</v>
      </c>
      <c r="E67" s="121">
        <v>228.23199999999997</v>
      </c>
      <c r="F67" s="122">
        <f t="shared" si="0"/>
        <v>2281.272</v>
      </c>
    </row>
    <row r="68" spans="1:6" ht="12.75">
      <c r="A68" s="3" t="s">
        <v>92</v>
      </c>
      <c r="B68" t="s">
        <v>93</v>
      </c>
      <c r="C68" t="s">
        <v>372</v>
      </c>
      <c r="D68" s="121">
        <v>6745.72</v>
      </c>
      <c r="E68" s="121">
        <v>423.9920000000002</v>
      </c>
      <c r="F68" s="122">
        <f t="shared" si="0"/>
        <v>7169.712</v>
      </c>
    </row>
    <row r="69" spans="1:6" ht="12.75">
      <c r="A69" s="3" t="s">
        <v>94</v>
      </c>
      <c r="B69" t="s">
        <v>93</v>
      </c>
      <c r="C69" t="s">
        <v>373</v>
      </c>
      <c r="D69" s="121">
        <v>2346.34</v>
      </c>
      <c r="E69" s="121">
        <v>260.828</v>
      </c>
      <c r="F69" s="122">
        <f t="shared" si="0"/>
        <v>2607.168</v>
      </c>
    </row>
    <row r="70" spans="1:6" ht="12.75">
      <c r="A70" s="3" t="s">
        <v>95</v>
      </c>
      <c r="B70" t="s">
        <v>93</v>
      </c>
      <c r="C70" t="s">
        <v>374</v>
      </c>
      <c r="D70" s="121">
        <v>586.58</v>
      </c>
      <c r="E70" s="121">
        <v>65.21199999999999</v>
      </c>
      <c r="F70" s="122">
        <f aca="true" t="shared" si="1" ref="F70:F133">SUM(D70:E70)</f>
        <v>651.792</v>
      </c>
    </row>
    <row r="71" spans="1:6" ht="12.75">
      <c r="A71" s="3" t="s">
        <v>96</v>
      </c>
      <c r="B71" t="s">
        <v>97</v>
      </c>
      <c r="C71" t="s">
        <v>375</v>
      </c>
      <c r="D71" s="121">
        <v>309423.06</v>
      </c>
      <c r="E71" s="121">
        <v>34071.32400000002</v>
      </c>
      <c r="F71" s="122">
        <f t="shared" si="1"/>
        <v>343494.384</v>
      </c>
    </row>
    <row r="72" spans="1:6" ht="12.75">
      <c r="A72" s="3" t="s">
        <v>98</v>
      </c>
      <c r="B72" t="s">
        <v>97</v>
      </c>
      <c r="C72" t="s">
        <v>376</v>
      </c>
      <c r="D72" s="121">
        <v>196212.35</v>
      </c>
      <c r="E72" s="121">
        <v>21812.073999999993</v>
      </c>
      <c r="F72" s="122">
        <f t="shared" si="1"/>
        <v>218024.424</v>
      </c>
    </row>
    <row r="73" spans="1:6" ht="12.75">
      <c r="A73" s="3" t="s">
        <v>99</v>
      </c>
      <c r="B73" t="s">
        <v>97</v>
      </c>
      <c r="C73" t="s">
        <v>377</v>
      </c>
      <c r="D73" s="121">
        <v>30209.08</v>
      </c>
      <c r="E73" s="121">
        <v>3358.2079999999987</v>
      </c>
      <c r="F73" s="122">
        <f t="shared" si="1"/>
        <v>33567.288</v>
      </c>
    </row>
    <row r="74" spans="1:6" ht="12.75">
      <c r="A74" s="3" t="s">
        <v>100</v>
      </c>
      <c r="B74" t="s">
        <v>101</v>
      </c>
      <c r="C74" t="s">
        <v>378</v>
      </c>
      <c r="D74" s="121">
        <v>293.29</v>
      </c>
      <c r="E74" s="121">
        <v>32.605999999999995</v>
      </c>
      <c r="F74" s="122">
        <f t="shared" si="1"/>
        <v>325.896</v>
      </c>
    </row>
    <row r="75" spans="1:6" ht="12.75">
      <c r="A75" s="3" t="s">
        <v>102</v>
      </c>
      <c r="B75" t="s">
        <v>103</v>
      </c>
      <c r="C75" t="s">
        <v>379</v>
      </c>
      <c r="D75" s="121">
        <v>14664.6</v>
      </c>
      <c r="E75" s="121">
        <v>1630.2000000000007</v>
      </c>
      <c r="F75" s="122">
        <f t="shared" si="1"/>
        <v>16294.800000000001</v>
      </c>
    </row>
    <row r="76" spans="1:6" ht="12.75">
      <c r="A76" s="3" t="s">
        <v>104</v>
      </c>
      <c r="B76" t="s">
        <v>103</v>
      </c>
      <c r="C76" t="s">
        <v>380</v>
      </c>
      <c r="D76" s="121">
        <v>16131.06</v>
      </c>
      <c r="E76" s="121">
        <v>1793.220000000003</v>
      </c>
      <c r="F76" s="122">
        <f t="shared" si="1"/>
        <v>17924.280000000002</v>
      </c>
    </row>
    <row r="77" spans="1:6" ht="12.75">
      <c r="A77" s="3" t="s">
        <v>105</v>
      </c>
      <c r="B77" t="s">
        <v>106</v>
      </c>
      <c r="C77" t="s">
        <v>381</v>
      </c>
      <c r="D77" s="121">
        <v>19063.98</v>
      </c>
      <c r="E77" s="121">
        <v>2119.2599999999984</v>
      </c>
      <c r="F77" s="122">
        <f t="shared" si="1"/>
        <v>21183.239999999998</v>
      </c>
    </row>
    <row r="78" spans="1:6" ht="12.75">
      <c r="A78" s="3" t="s">
        <v>107</v>
      </c>
      <c r="B78" t="s">
        <v>108</v>
      </c>
      <c r="C78" t="s">
        <v>382</v>
      </c>
      <c r="D78" s="121">
        <v>293.29</v>
      </c>
      <c r="E78" s="121">
        <v>32.605999999999995</v>
      </c>
      <c r="F78" s="122">
        <f t="shared" si="1"/>
        <v>325.896</v>
      </c>
    </row>
    <row r="79" spans="1:6" ht="12.75">
      <c r="A79" s="3" t="s">
        <v>109</v>
      </c>
      <c r="B79" t="s">
        <v>110</v>
      </c>
      <c r="C79" t="s">
        <v>383</v>
      </c>
      <c r="D79" s="121">
        <v>1466.46</v>
      </c>
      <c r="E79" s="121">
        <v>163.01999999999998</v>
      </c>
      <c r="F79" s="122">
        <f t="shared" si="1"/>
        <v>1629.48</v>
      </c>
    </row>
    <row r="80" spans="1:6" ht="12.75">
      <c r="A80" s="3" t="s">
        <v>111</v>
      </c>
      <c r="B80" t="s">
        <v>110</v>
      </c>
      <c r="C80" t="s">
        <v>384</v>
      </c>
      <c r="D80" s="121">
        <v>0</v>
      </c>
      <c r="E80" s="121">
        <v>0</v>
      </c>
      <c r="F80" s="122">
        <f t="shared" si="1"/>
        <v>0</v>
      </c>
    </row>
    <row r="81" spans="1:6" ht="12.75">
      <c r="A81" s="3" t="s">
        <v>112</v>
      </c>
      <c r="B81" t="s">
        <v>113</v>
      </c>
      <c r="C81" t="s">
        <v>385</v>
      </c>
      <c r="D81" s="121">
        <v>1173.17</v>
      </c>
      <c r="E81" s="121">
        <v>130.414</v>
      </c>
      <c r="F81" s="122">
        <f t="shared" si="1"/>
        <v>1303.584</v>
      </c>
    </row>
    <row r="82" spans="1:6" ht="12.75">
      <c r="A82" s="3" t="s">
        <v>114</v>
      </c>
      <c r="B82" t="s">
        <v>115</v>
      </c>
      <c r="C82" t="s">
        <v>386</v>
      </c>
      <c r="D82" s="121">
        <v>1026522</v>
      </c>
      <c r="E82" s="121">
        <v>109877.35199999996</v>
      </c>
      <c r="F82" s="122">
        <f t="shared" si="1"/>
        <v>1136399.352</v>
      </c>
    </row>
    <row r="83" spans="1:6" ht="12.75">
      <c r="A83" s="3" t="s">
        <v>116</v>
      </c>
      <c r="B83" t="s">
        <v>72</v>
      </c>
      <c r="C83" t="s">
        <v>387</v>
      </c>
      <c r="D83" s="121">
        <v>0</v>
      </c>
      <c r="E83" s="121">
        <v>0</v>
      </c>
      <c r="F83" s="122">
        <f t="shared" si="1"/>
        <v>0</v>
      </c>
    </row>
    <row r="84" spans="1:6" ht="12.75">
      <c r="A84" s="3" t="s">
        <v>117</v>
      </c>
      <c r="B84" t="s">
        <v>72</v>
      </c>
      <c r="C84" t="s">
        <v>388</v>
      </c>
      <c r="D84" s="121">
        <v>0</v>
      </c>
      <c r="E84" s="121">
        <v>0</v>
      </c>
      <c r="F84" s="122">
        <f t="shared" si="1"/>
        <v>0</v>
      </c>
    </row>
    <row r="85" spans="1:6" ht="12.75">
      <c r="A85" s="3" t="s">
        <v>118</v>
      </c>
      <c r="B85" t="s">
        <v>44</v>
      </c>
      <c r="C85" t="s">
        <v>389</v>
      </c>
      <c r="D85" s="121">
        <v>0</v>
      </c>
      <c r="E85" s="121">
        <v>0</v>
      </c>
      <c r="F85" s="122">
        <f t="shared" si="1"/>
        <v>0</v>
      </c>
    </row>
    <row r="86" spans="1:6" ht="12.75">
      <c r="A86" s="3" t="s">
        <v>119</v>
      </c>
      <c r="B86" t="s">
        <v>44</v>
      </c>
      <c r="C86" t="s">
        <v>390</v>
      </c>
      <c r="D86" s="121">
        <v>0</v>
      </c>
      <c r="E86" s="121">
        <v>0</v>
      </c>
      <c r="F86" s="122">
        <f t="shared" si="1"/>
        <v>0</v>
      </c>
    </row>
    <row r="87" spans="1:6" ht="12.75">
      <c r="A87" s="3" t="s">
        <v>120</v>
      </c>
      <c r="B87" t="s">
        <v>44</v>
      </c>
      <c r="C87" t="s">
        <v>391</v>
      </c>
      <c r="D87" s="121">
        <v>5279.26</v>
      </c>
      <c r="E87" s="121">
        <v>586.8679999999995</v>
      </c>
      <c r="F87" s="122">
        <f t="shared" si="1"/>
        <v>5866.128</v>
      </c>
    </row>
    <row r="88" spans="1:6" ht="12.75">
      <c r="A88" s="3" t="s">
        <v>121</v>
      </c>
      <c r="B88" t="s">
        <v>44</v>
      </c>
      <c r="C88" t="s">
        <v>392</v>
      </c>
      <c r="D88" s="121">
        <v>3519.5</v>
      </c>
      <c r="E88" s="121">
        <v>391.2520000000004</v>
      </c>
      <c r="F88" s="122">
        <f t="shared" si="1"/>
        <v>3910.7520000000004</v>
      </c>
    </row>
    <row r="89" spans="1:6" ht="12.75">
      <c r="A89" s="3" t="s">
        <v>122</v>
      </c>
      <c r="B89" t="s">
        <v>44</v>
      </c>
      <c r="C89" t="s">
        <v>393</v>
      </c>
      <c r="D89" s="121">
        <v>23463.36</v>
      </c>
      <c r="E89" s="121">
        <v>2608.3199999999997</v>
      </c>
      <c r="F89" s="122">
        <f t="shared" si="1"/>
        <v>26071.68</v>
      </c>
    </row>
    <row r="90" spans="1:6" ht="12.75">
      <c r="A90" s="3" t="s">
        <v>123</v>
      </c>
      <c r="B90" t="s">
        <v>124</v>
      </c>
      <c r="C90" t="s">
        <v>394</v>
      </c>
      <c r="D90" s="121">
        <v>47513.3</v>
      </c>
      <c r="E90" s="121">
        <v>5281.851999999999</v>
      </c>
      <c r="F90" s="122">
        <f t="shared" si="1"/>
        <v>52795.152</v>
      </c>
    </row>
    <row r="91" spans="1:6" ht="12.75">
      <c r="A91" s="3" t="s">
        <v>125</v>
      </c>
      <c r="B91" t="s">
        <v>126</v>
      </c>
      <c r="C91" t="s">
        <v>395</v>
      </c>
      <c r="D91" s="121">
        <v>43407.22</v>
      </c>
      <c r="E91" s="121">
        <v>4825.387999999999</v>
      </c>
      <c r="F91" s="122">
        <f t="shared" si="1"/>
        <v>48232.608</v>
      </c>
    </row>
    <row r="92" spans="1:6" ht="12.75">
      <c r="A92" s="3" t="s">
        <v>127</v>
      </c>
      <c r="B92" t="s">
        <v>126</v>
      </c>
      <c r="C92" t="s">
        <v>396</v>
      </c>
      <c r="D92" s="121">
        <v>5865.84</v>
      </c>
      <c r="E92" s="121">
        <v>652.0799999999999</v>
      </c>
      <c r="F92" s="122">
        <f t="shared" si="1"/>
        <v>6517.92</v>
      </c>
    </row>
    <row r="93" spans="1:6" ht="12.75">
      <c r="A93" s="3" t="s">
        <v>128</v>
      </c>
      <c r="B93" t="s">
        <v>126</v>
      </c>
      <c r="C93" t="s">
        <v>397</v>
      </c>
      <c r="D93" s="121">
        <v>15251.18</v>
      </c>
      <c r="E93" s="121">
        <v>1695.4120000000003</v>
      </c>
      <c r="F93" s="122">
        <f t="shared" si="1"/>
        <v>16946.592</v>
      </c>
    </row>
    <row r="94" spans="1:6" ht="12.75">
      <c r="A94" s="3" t="s">
        <v>129</v>
      </c>
      <c r="B94" t="s">
        <v>130</v>
      </c>
      <c r="C94" t="s">
        <v>398</v>
      </c>
      <c r="D94" s="121">
        <v>369841.21</v>
      </c>
      <c r="E94" s="121">
        <v>40461.85399999999</v>
      </c>
      <c r="F94" s="122">
        <f t="shared" si="1"/>
        <v>410303.064</v>
      </c>
    </row>
    <row r="95" spans="1:6" ht="12.75">
      <c r="A95" s="3" t="s">
        <v>131</v>
      </c>
      <c r="B95" t="s">
        <v>130</v>
      </c>
      <c r="C95" t="s">
        <v>399</v>
      </c>
      <c r="D95" s="121">
        <v>106758.29</v>
      </c>
      <c r="E95" s="121">
        <v>11867.854000000007</v>
      </c>
      <c r="F95" s="122">
        <f t="shared" si="1"/>
        <v>118626.144</v>
      </c>
    </row>
    <row r="96" spans="1:6" ht="12.75">
      <c r="A96" s="3" t="s">
        <v>132</v>
      </c>
      <c r="B96" t="s">
        <v>130</v>
      </c>
      <c r="C96" t="s">
        <v>400</v>
      </c>
      <c r="D96" s="121">
        <v>28449.32</v>
      </c>
      <c r="E96" s="121">
        <v>3162.592000000004</v>
      </c>
      <c r="F96" s="122">
        <f t="shared" si="1"/>
        <v>31611.912000000004</v>
      </c>
    </row>
    <row r="97" spans="1:6" ht="12.75">
      <c r="A97" s="3" t="s">
        <v>133</v>
      </c>
      <c r="B97" t="s">
        <v>34</v>
      </c>
      <c r="C97" t="s">
        <v>401</v>
      </c>
      <c r="D97" s="121">
        <v>5279.26</v>
      </c>
      <c r="E97" s="121">
        <v>586.8679999999995</v>
      </c>
      <c r="F97" s="122">
        <f t="shared" si="1"/>
        <v>5866.128</v>
      </c>
    </row>
    <row r="98" spans="1:6" ht="12.75">
      <c r="A98" s="3" t="s">
        <v>134</v>
      </c>
      <c r="B98" t="s">
        <v>34</v>
      </c>
      <c r="C98" t="s">
        <v>402</v>
      </c>
      <c r="D98" s="121">
        <v>879.88</v>
      </c>
      <c r="E98" s="121">
        <v>97.8080000000001</v>
      </c>
      <c r="F98" s="122">
        <f t="shared" si="1"/>
        <v>977.6880000000001</v>
      </c>
    </row>
    <row r="99" spans="1:6" ht="12.75">
      <c r="A99" s="3" t="s">
        <v>135</v>
      </c>
      <c r="B99" t="s">
        <v>34</v>
      </c>
      <c r="C99" t="s">
        <v>403</v>
      </c>
      <c r="D99" s="121">
        <v>2346.34</v>
      </c>
      <c r="E99" s="121">
        <v>260.828</v>
      </c>
      <c r="F99" s="122">
        <f t="shared" si="1"/>
        <v>2607.168</v>
      </c>
    </row>
    <row r="100" spans="1:6" ht="12.75">
      <c r="A100" s="3" t="s">
        <v>136</v>
      </c>
      <c r="B100" t="s">
        <v>34</v>
      </c>
      <c r="C100" t="s">
        <v>404</v>
      </c>
      <c r="D100" s="121">
        <v>0</v>
      </c>
      <c r="E100" s="121">
        <v>0</v>
      </c>
      <c r="F100" s="122">
        <f t="shared" si="1"/>
        <v>0</v>
      </c>
    </row>
    <row r="101" spans="1:6" ht="12.75">
      <c r="A101" s="3" t="s">
        <v>137</v>
      </c>
      <c r="B101" t="s">
        <v>34</v>
      </c>
      <c r="C101" t="s">
        <v>405</v>
      </c>
      <c r="D101" s="121">
        <v>0</v>
      </c>
      <c r="E101" s="121">
        <v>0</v>
      </c>
      <c r="F101" s="122">
        <f t="shared" si="1"/>
        <v>0</v>
      </c>
    </row>
    <row r="102" spans="1:6" ht="12.75">
      <c r="A102" s="3" t="s">
        <v>138</v>
      </c>
      <c r="B102" t="s">
        <v>34</v>
      </c>
      <c r="C102" t="s">
        <v>406</v>
      </c>
      <c r="D102" s="121">
        <v>0</v>
      </c>
      <c r="E102" s="121">
        <v>0</v>
      </c>
      <c r="F102" s="122">
        <f t="shared" si="1"/>
        <v>0</v>
      </c>
    </row>
    <row r="103" spans="1:6" ht="12.75">
      <c r="A103" s="3" t="s">
        <v>139</v>
      </c>
      <c r="B103" t="s">
        <v>140</v>
      </c>
      <c r="C103" t="s">
        <v>407</v>
      </c>
      <c r="D103" s="121">
        <v>0</v>
      </c>
      <c r="E103" s="121">
        <v>0</v>
      </c>
      <c r="F103" s="122">
        <f t="shared" si="1"/>
        <v>0</v>
      </c>
    </row>
    <row r="104" spans="1:6" ht="12.75">
      <c r="A104" s="3" t="s">
        <v>141</v>
      </c>
      <c r="B104" t="s">
        <v>140</v>
      </c>
      <c r="C104" t="s">
        <v>408</v>
      </c>
      <c r="D104" s="121">
        <v>6452.42</v>
      </c>
      <c r="E104" s="121">
        <v>717.2920000000004</v>
      </c>
      <c r="F104" s="122">
        <f t="shared" si="1"/>
        <v>7169.712</v>
      </c>
    </row>
    <row r="105" spans="1:6" ht="12.75">
      <c r="A105" s="3" t="s">
        <v>142</v>
      </c>
      <c r="B105" t="s">
        <v>140</v>
      </c>
      <c r="C105" t="s">
        <v>409</v>
      </c>
      <c r="D105" s="121">
        <v>0</v>
      </c>
      <c r="E105" s="121">
        <v>0</v>
      </c>
      <c r="F105" s="122">
        <f t="shared" si="1"/>
        <v>0</v>
      </c>
    </row>
    <row r="106" spans="1:6" ht="12.75">
      <c r="A106" s="3" t="s">
        <v>143</v>
      </c>
      <c r="B106" t="s">
        <v>144</v>
      </c>
      <c r="C106" t="s">
        <v>410</v>
      </c>
      <c r="D106" s="121">
        <v>21117.02</v>
      </c>
      <c r="E106" s="121">
        <v>2347.492000000002</v>
      </c>
      <c r="F106" s="122">
        <f t="shared" si="1"/>
        <v>23464.512000000002</v>
      </c>
    </row>
    <row r="107" spans="1:6" ht="12.75">
      <c r="A107" s="3" t="s">
        <v>145</v>
      </c>
      <c r="B107" t="s">
        <v>144</v>
      </c>
      <c r="C107" t="s">
        <v>411</v>
      </c>
      <c r="D107" s="121">
        <v>0</v>
      </c>
      <c r="E107" s="121">
        <v>0</v>
      </c>
      <c r="F107" s="122">
        <f t="shared" si="1"/>
        <v>0</v>
      </c>
    </row>
    <row r="108" spans="1:6" ht="12.75">
      <c r="A108" s="3" t="s">
        <v>146</v>
      </c>
      <c r="B108" t="s">
        <v>144</v>
      </c>
      <c r="C108" t="s">
        <v>412</v>
      </c>
      <c r="D108" s="121">
        <v>586.58</v>
      </c>
      <c r="E108" s="121">
        <v>65.21199999999999</v>
      </c>
      <c r="F108" s="122">
        <f t="shared" si="1"/>
        <v>651.792</v>
      </c>
    </row>
    <row r="109" spans="1:6" ht="12.75">
      <c r="A109" s="3" t="s">
        <v>147</v>
      </c>
      <c r="B109" t="s">
        <v>144</v>
      </c>
      <c r="C109" t="s">
        <v>413</v>
      </c>
      <c r="D109" s="121">
        <v>0</v>
      </c>
      <c r="E109" s="121">
        <v>0</v>
      </c>
      <c r="F109" s="122">
        <f t="shared" si="1"/>
        <v>0</v>
      </c>
    </row>
    <row r="110" spans="1:6" ht="12.75">
      <c r="A110" s="3" t="s">
        <v>148</v>
      </c>
      <c r="B110" t="s">
        <v>149</v>
      </c>
      <c r="C110" t="s">
        <v>414</v>
      </c>
      <c r="D110" s="121">
        <v>293.29</v>
      </c>
      <c r="E110" s="121">
        <v>32.605999999999995</v>
      </c>
      <c r="F110" s="122">
        <f t="shared" si="1"/>
        <v>325.896</v>
      </c>
    </row>
    <row r="111" spans="1:6" ht="12.75">
      <c r="A111" s="3" t="s">
        <v>150</v>
      </c>
      <c r="B111" t="s">
        <v>149</v>
      </c>
      <c r="C111" t="s">
        <v>415</v>
      </c>
      <c r="D111" s="121">
        <v>879.88</v>
      </c>
      <c r="E111" s="121">
        <v>97.8080000000001</v>
      </c>
      <c r="F111" s="122">
        <f t="shared" si="1"/>
        <v>977.6880000000001</v>
      </c>
    </row>
    <row r="112" spans="1:6" ht="12.75">
      <c r="A112" s="3" t="s">
        <v>151</v>
      </c>
      <c r="B112" t="s">
        <v>149</v>
      </c>
      <c r="C112" t="s">
        <v>416</v>
      </c>
      <c r="D112" s="121">
        <v>118783.26</v>
      </c>
      <c r="E112" s="121">
        <v>12878.724000000002</v>
      </c>
      <c r="F112" s="122">
        <f t="shared" si="1"/>
        <v>131661.984</v>
      </c>
    </row>
    <row r="113" spans="1:6" ht="12.75">
      <c r="A113" s="3" t="s">
        <v>152</v>
      </c>
      <c r="B113" t="s">
        <v>153</v>
      </c>
      <c r="C113" t="s">
        <v>417</v>
      </c>
      <c r="D113" s="121">
        <v>0</v>
      </c>
      <c r="E113" s="121">
        <v>0</v>
      </c>
      <c r="F113" s="122">
        <f t="shared" si="1"/>
        <v>0</v>
      </c>
    </row>
    <row r="114" spans="1:6" ht="12.75">
      <c r="A114" s="3" t="s">
        <v>154</v>
      </c>
      <c r="B114" t="s">
        <v>155</v>
      </c>
      <c r="C114" t="s">
        <v>418</v>
      </c>
      <c r="D114" s="121">
        <v>27276.16</v>
      </c>
      <c r="E114" s="121">
        <v>3032.1680000000015</v>
      </c>
      <c r="F114" s="122">
        <f t="shared" si="1"/>
        <v>30308.328</v>
      </c>
    </row>
    <row r="115" spans="1:6" ht="12.75">
      <c r="A115" s="3" t="s">
        <v>156</v>
      </c>
      <c r="B115" t="s">
        <v>157</v>
      </c>
      <c r="C115" t="s">
        <v>419</v>
      </c>
      <c r="D115" s="121">
        <v>32262.12</v>
      </c>
      <c r="E115" s="121">
        <v>3586.4399999999987</v>
      </c>
      <c r="F115" s="122">
        <f t="shared" si="1"/>
        <v>35848.56</v>
      </c>
    </row>
    <row r="116" spans="1:6" ht="12.75">
      <c r="A116" s="3" t="s">
        <v>158</v>
      </c>
      <c r="B116" t="s">
        <v>157</v>
      </c>
      <c r="C116" t="s">
        <v>420</v>
      </c>
      <c r="D116" s="121">
        <v>5279.26</v>
      </c>
      <c r="E116" s="121">
        <v>586.8680000000004</v>
      </c>
      <c r="F116" s="122">
        <f t="shared" si="1"/>
        <v>5866.128000000001</v>
      </c>
    </row>
    <row r="117" spans="1:6" ht="12.75">
      <c r="A117" s="3" t="s">
        <v>159</v>
      </c>
      <c r="B117" t="s">
        <v>157</v>
      </c>
      <c r="C117" t="s">
        <v>421</v>
      </c>
      <c r="D117" s="121">
        <v>7332.3</v>
      </c>
      <c r="E117" s="121">
        <v>815.1000000000004</v>
      </c>
      <c r="F117" s="122">
        <f t="shared" si="1"/>
        <v>8147.400000000001</v>
      </c>
    </row>
    <row r="118" spans="1:6" ht="12.75">
      <c r="A118" s="3" t="s">
        <v>160</v>
      </c>
      <c r="B118" t="s">
        <v>161</v>
      </c>
      <c r="C118" t="s">
        <v>422</v>
      </c>
      <c r="D118" s="121">
        <v>107344.87</v>
      </c>
      <c r="E118" s="121">
        <v>11933.066000000006</v>
      </c>
      <c r="F118" s="122">
        <f t="shared" si="1"/>
        <v>119277.936</v>
      </c>
    </row>
    <row r="119" spans="1:6" ht="12.75">
      <c r="A119" s="3" t="s">
        <v>162</v>
      </c>
      <c r="B119" t="s">
        <v>161</v>
      </c>
      <c r="C119" t="s">
        <v>423</v>
      </c>
      <c r="D119" s="121">
        <v>293.29</v>
      </c>
      <c r="E119" s="121">
        <v>-293.29</v>
      </c>
      <c r="F119" s="122">
        <f t="shared" si="1"/>
        <v>0</v>
      </c>
    </row>
    <row r="120" spans="1:6" ht="12.75">
      <c r="A120" s="3" t="s">
        <v>163</v>
      </c>
      <c r="B120" t="s">
        <v>164</v>
      </c>
      <c r="C120" t="s">
        <v>424</v>
      </c>
      <c r="D120" s="121">
        <v>37248.08</v>
      </c>
      <c r="E120" s="121">
        <v>4140.7119999999995</v>
      </c>
      <c r="F120" s="122">
        <f t="shared" si="1"/>
        <v>41388.792</v>
      </c>
    </row>
    <row r="121" spans="1:6" ht="12.75">
      <c r="A121" s="3" t="s">
        <v>165</v>
      </c>
      <c r="B121" t="s">
        <v>164</v>
      </c>
      <c r="C121" t="s">
        <v>425</v>
      </c>
      <c r="D121" s="121">
        <v>161603.89</v>
      </c>
      <c r="E121" s="121">
        <v>17964.80600000001</v>
      </c>
      <c r="F121" s="122">
        <f t="shared" si="1"/>
        <v>179568.69600000003</v>
      </c>
    </row>
    <row r="122" spans="1:6" ht="12.75">
      <c r="A122" s="3" t="s">
        <v>166</v>
      </c>
      <c r="B122" t="s">
        <v>164</v>
      </c>
      <c r="C122" t="s">
        <v>426</v>
      </c>
      <c r="D122" s="121">
        <v>0</v>
      </c>
      <c r="E122" s="121">
        <v>0</v>
      </c>
      <c r="F122" s="122">
        <f t="shared" si="1"/>
        <v>0</v>
      </c>
    </row>
    <row r="123" spans="1:6" ht="12.75">
      <c r="A123" s="3" t="s">
        <v>167</v>
      </c>
      <c r="B123" t="s">
        <v>164</v>
      </c>
      <c r="C123" t="s">
        <v>427</v>
      </c>
      <c r="D123" s="121">
        <v>7039.01</v>
      </c>
      <c r="E123" s="121">
        <v>782.4939999999997</v>
      </c>
      <c r="F123" s="122">
        <f t="shared" si="1"/>
        <v>7821.504</v>
      </c>
    </row>
    <row r="124" spans="1:6" ht="12.75">
      <c r="A124" s="3" t="s">
        <v>168</v>
      </c>
      <c r="B124" t="s">
        <v>169</v>
      </c>
      <c r="C124" t="s">
        <v>428</v>
      </c>
      <c r="D124" s="121">
        <v>6452.42</v>
      </c>
      <c r="E124" s="121">
        <v>717.2920000000004</v>
      </c>
      <c r="F124" s="122">
        <f t="shared" si="1"/>
        <v>7169.712</v>
      </c>
    </row>
    <row r="125" spans="1:6" ht="12.75">
      <c r="A125" s="3" t="s">
        <v>170</v>
      </c>
      <c r="B125" t="s">
        <v>169</v>
      </c>
      <c r="C125" t="s">
        <v>429</v>
      </c>
      <c r="D125" s="121">
        <v>7918.88</v>
      </c>
      <c r="E125" s="121">
        <v>880.3120000000008</v>
      </c>
      <c r="F125" s="122">
        <f t="shared" si="1"/>
        <v>8799.192000000001</v>
      </c>
    </row>
    <row r="126" spans="1:6" ht="12.75">
      <c r="A126" s="3" t="s">
        <v>171</v>
      </c>
      <c r="B126" t="s">
        <v>169</v>
      </c>
      <c r="C126" t="s">
        <v>430</v>
      </c>
      <c r="D126" s="121">
        <v>1759.75</v>
      </c>
      <c r="E126" s="121">
        <v>195.6260000000002</v>
      </c>
      <c r="F126" s="122">
        <f t="shared" si="1"/>
        <v>1955.3760000000002</v>
      </c>
    </row>
    <row r="127" spans="1:6" ht="12.75">
      <c r="A127" s="3" t="s">
        <v>172</v>
      </c>
      <c r="B127" t="s">
        <v>169</v>
      </c>
      <c r="C127" t="s">
        <v>431</v>
      </c>
      <c r="D127" s="121">
        <v>1466.46</v>
      </c>
      <c r="E127" s="121">
        <v>163.01999999999998</v>
      </c>
      <c r="F127" s="122">
        <f t="shared" si="1"/>
        <v>1629.48</v>
      </c>
    </row>
    <row r="128" spans="1:6" ht="12.75">
      <c r="A128" s="3" t="s">
        <v>173</v>
      </c>
      <c r="B128" t="s">
        <v>169</v>
      </c>
      <c r="C128" t="s">
        <v>432</v>
      </c>
      <c r="D128" s="121">
        <v>0</v>
      </c>
      <c r="E128" s="121">
        <v>0</v>
      </c>
      <c r="F128" s="122">
        <f t="shared" si="1"/>
        <v>0</v>
      </c>
    </row>
    <row r="129" spans="1:6" ht="12.75">
      <c r="A129" s="3" t="s">
        <v>174</v>
      </c>
      <c r="B129" t="s">
        <v>169</v>
      </c>
      <c r="C129" t="s">
        <v>433</v>
      </c>
      <c r="D129" s="121">
        <v>0</v>
      </c>
      <c r="E129" s="121">
        <v>0</v>
      </c>
      <c r="F129" s="122">
        <f t="shared" si="1"/>
        <v>0</v>
      </c>
    </row>
    <row r="130" spans="1:6" ht="12.75">
      <c r="A130" s="3" t="s">
        <v>175</v>
      </c>
      <c r="B130" t="s">
        <v>176</v>
      </c>
      <c r="C130" t="s">
        <v>434</v>
      </c>
      <c r="D130" s="121">
        <v>1466.46</v>
      </c>
      <c r="E130" s="121">
        <v>163.01999999999998</v>
      </c>
      <c r="F130" s="122">
        <f t="shared" si="1"/>
        <v>1629.48</v>
      </c>
    </row>
    <row r="131" spans="1:6" ht="12.75">
      <c r="A131" s="3" t="s">
        <v>177</v>
      </c>
      <c r="B131" t="s">
        <v>176</v>
      </c>
      <c r="C131" t="s">
        <v>435</v>
      </c>
      <c r="D131" s="121">
        <v>1466.46</v>
      </c>
      <c r="E131" s="121">
        <v>163.01999999999998</v>
      </c>
      <c r="F131" s="122">
        <f t="shared" si="1"/>
        <v>1629.48</v>
      </c>
    </row>
    <row r="132" spans="1:6" ht="12.75">
      <c r="A132" s="3" t="s">
        <v>178</v>
      </c>
      <c r="B132" t="s">
        <v>179</v>
      </c>
      <c r="C132" t="s">
        <v>436</v>
      </c>
      <c r="D132" s="121">
        <v>586.58</v>
      </c>
      <c r="E132" s="121">
        <v>65.21199999999999</v>
      </c>
      <c r="F132" s="122">
        <f t="shared" si="1"/>
        <v>651.792</v>
      </c>
    </row>
    <row r="133" spans="1:6" ht="12.75">
      <c r="A133" s="3" t="s">
        <v>180</v>
      </c>
      <c r="B133" t="s">
        <v>179</v>
      </c>
      <c r="C133" t="s">
        <v>437</v>
      </c>
      <c r="D133" s="121">
        <v>2346.34</v>
      </c>
      <c r="E133" s="121">
        <v>260.828</v>
      </c>
      <c r="F133" s="122">
        <f t="shared" si="1"/>
        <v>2607.168</v>
      </c>
    </row>
    <row r="134" spans="1:6" ht="12.75">
      <c r="A134" s="3" t="s">
        <v>181</v>
      </c>
      <c r="B134" t="s">
        <v>182</v>
      </c>
      <c r="C134" t="s">
        <v>438</v>
      </c>
      <c r="D134" s="121">
        <v>19943.86</v>
      </c>
      <c r="E134" s="121">
        <v>2217.0679999999993</v>
      </c>
      <c r="F134" s="122">
        <f aca="true" t="shared" si="2" ref="F134:F197">SUM(D134:E134)</f>
        <v>22160.928</v>
      </c>
    </row>
    <row r="135" spans="1:6" ht="12.75">
      <c r="A135" s="3" t="s">
        <v>183</v>
      </c>
      <c r="B135" t="s">
        <v>182</v>
      </c>
      <c r="C135" t="s">
        <v>439</v>
      </c>
      <c r="D135" s="121">
        <v>1466.46</v>
      </c>
      <c r="E135" s="121">
        <v>163.01999999999998</v>
      </c>
      <c r="F135" s="122">
        <f t="shared" si="2"/>
        <v>1629.48</v>
      </c>
    </row>
    <row r="136" spans="1:6" ht="12.75">
      <c r="A136" s="3" t="s">
        <v>184</v>
      </c>
      <c r="B136" t="s">
        <v>185</v>
      </c>
      <c r="C136" t="s">
        <v>440</v>
      </c>
      <c r="D136" s="121">
        <v>19357.27</v>
      </c>
      <c r="E136" s="121">
        <v>2151.866000000002</v>
      </c>
      <c r="F136" s="122">
        <f t="shared" si="2"/>
        <v>21509.136000000002</v>
      </c>
    </row>
    <row r="137" spans="1:6" ht="12.75">
      <c r="A137" s="3" t="s">
        <v>186</v>
      </c>
      <c r="B137" t="s">
        <v>187</v>
      </c>
      <c r="C137" t="s">
        <v>441</v>
      </c>
      <c r="D137" s="121">
        <v>5279.26</v>
      </c>
      <c r="E137" s="121">
        <v>586.8680000000004</v>
      </c>
      <c r="F137" s="122">
        <f t="shared" si="2"/>
        <v>5866.128000000001</v>
      </c>
    </row>
    <row r="138" spans="1:6" ht="12.75">
      <c r="A138" s="3" t="s">
        <v>188</v>
      </c>
      <c r="B138" t="s">
        <v>187</v>
      </c>
      <c r="C138" t="s">
        <v>442</v>
      </c>
      <c r="D138" s="121">
        <v>15544.48</v>
      </c>
      <c r="E138" s="121">
        <v>1728.0080000000016</v>
      </c>
      <c r="F138" s="122">
        <f t="shared" si="2"/>
        <v>17272.488</v>
      </c>
    </row>
    <row r="139" spans="1:6" ht="12.75">
      <c r="A139" s="3" t="s">
        <v>189</v>
      </c>
      <c r="B139" t="s">
        <v>187</v>
      </c>
      <c r="C139" t="s">
        <v>443</v>
      </c>
      <c r="D139" s="121">
        <v>12318.26</v>
      </c>
      <c r="E139" s="121">
        <v>1369.3720000000012</v>
      </c>
      <c r="F139" s="122">
        <f t="shared" si="2"/>
        <v>13687.632000000001</v>
      </c>
    </row>
    <row r="140" spans="1:6" ht="12.75">
      <c r="A140" s="3" t="s">
        <v>190</v>
      </c>
      <c r="B140" t="s">
        <v>187</v>
      </c>
      <c r="C140" t="s">
        <v>444</v>
      </c>
      <c r="D140" s="121">
        <v>879.88</v>
      </c>
      <c r="E140" s="121">
        <v>97.8080000000001</v>
      </c>
      <c r="F140" s="122">
        <f t="shared" si="2"/>
        <v>977.6880000000001</v>
      </c>
    </row>
    <row r="141" spans="1:6" ht="12.75">
      <c r="A141" s="3" t="s">
        <v>191</v>
      </c>
      <c r="B141" t="s">
        <v>192</v>
      </c>
      <c r="C141" t="s">
        <v>445</v>
      </c>
      <c r="D141" s="121">
        <v>132861.28</v>
      </c>
      <c r="E141" s="121">
        <v>14769.608000000007</v>
      </c>
      <c r="F141" s="122">
        <f t="shared" si="2"/>
        <v>147630.888</v>
      </c>
    </row>
    <row r="142" spans="1:6" ht="12.75">
      <c r="A142" s="3" t="s">
        <v>193</v>
      </c>
      <c r="B142" t="s">
        <v>192</v>
      </c>
      <c r="C142" t="s">
        <v>446</v>
      </c>
      <c r="D142" s="121">
        <v>53379.14</v>
      </c>
      <c r="E142" s="121">
        <v>5933.932000000001</v>
      </c>
      <c r="F142" s="122">
        <f t="shared" si="2"/>
        <v>59313.072</v>
      </c>
    </row>
    <row r="143" spans="1:6" ht="12.75">
      <c r="A143" s="3" t="s">
        <v>194</v>
      </c>
      <c r="B143" t="s">
        <v>195</v>
      </c>
      <c r="C143" t="s">
        <v>447</v>
      </c>
      <c r="D143" s="121">
        <v>8212.18</v>
      </c>
      <c r="E143" s="121">
        <v>912.9079999999994</v>
      </c>
      <c r="F143" s="122">
        <f t="shared" si="2"/>
        <v>9125.088</v>
      </c>
    </row>
    <row r="144" spans="1:6" ht="12.75">
      <c r="A144" s="3" t="s">
        <v>196</v>
      </c>
      <c r="B144" t="s">
        <v>195</v>
      </c>
      <c r="C144" t="s">
        <v>448</v>
      </c>
      <c r="D144" s="121">
        <v>293.29</v>
      </c>
      <c r="E144" s="121">
        <v>32.605999999999995</v>
      </c>
      <c r="F144" s="122">
        <f t="shared" si="2"/>
        <v>325.896</v>
      </c>
    </row>
    <row r="145" spans="1:6" ht="12.75">
      <c r="A145" s="3" t="s">
        <v>197</v>
      </c>
      <c r="B145" t="s">
        <v>198</v>
      </c>
      <c r="C145" t="s">
        <v>449</v>
      </c>
      <c r="D145" s="121">
        <v>586.58</v>
      </c>
      <c r="E145" s="121">
        <v>65.21199999999999</v>
      </c>
      <c r="F145" s="122">
        <f t="shared" si="2"/>
        <v>651.792</v>
      </c>
    </row>
    <row r="146" spans="1:6" ht="12.75">
      <c r="A146" s="3" t="s">
        <v>199</v>
      </c>
      <c r="B146" t="s">
        <v>198</v>
      </c>
      <c r="C146" t="s">
        <v>450</v>
      </c>
      <c r="D146" s="121">
        <v>9678.64</v>
      </c>
      <c r="E146" s="121">
        <v>1075.9279999999999</v>
      </c>
      <c r="F146" s="122">
        <f t="shared" si="2"/>
        <v>10754.568</v>
      </c>
    </row>
    <row r="147" spans="1:6" ht="12.75">
      <c r="A147" s="3" t="s">
        <v>200</v>
      </c>
      <c r="B147" t="s">
        <v>198</v>
      </c>
      <c r="C147" t="s">
        <v>451</v>
      </c>
      <c r="D147" s="121">
        <v>1173.17</v>
      </c>
      <c r="E147" s="121">
        <v>130.414</v>
      </c>
      <c r="F147" s="122">
        <f t="shared" si="2"/>
        <v>1303.584</v>
      </c>
    </row>
    <row r="148" spans="1:6" ht="12.75">
      <c r="A148" s="3" t="s">
        <v>201</v>
      </c>
      <c r="B148" t="s">
        <v>202</v>
      </c>
      <c r="C148" t="s">
        <v>452</v>
      </c>
      <c r="D148" s="121">
        <v>3226.21</v>
      </c>
      <c r="E148" s="121">
        <v>358.6460000000002</v>
      </c>
      <c r="F148" s="122">
        <f t="shared" si="2"/>
        <v>3584.856</v>
      </c>
    </row>
    <row r="149" spans="1:6" ht="12.75">
      <c r="A149" s="3" t="s">
        <v>203</v>
      </c>
      <c r="B149" t="s">
        <v>202</v>
      </c>
      <c r="C149" t="s">
        <v>453</v>
      </c>
      <c r="D149" s="121">
        <v>41354.17</v>
      </c>
      <c r="E149" s="121">
        <v>4597.166000000005</v>
      </c>
      <c r="F149" s="122">
        <f t="shared" si="2"/>
        <v>45951.336</v>
      </c>
    </row>
    <row r="150" spans="1:6" ht="12.75">
      <c r="A150" s="3" t="s">
        <v>204</v>
      </c>
      <c r="B150" t="s">
        <v>202</v>
      </c>
      <c r="C150" t="s">
        <v>454</v>
      </c>
      <c r="D150" s="121">
        <v>2639.63</v>
      </c>
      <c r="E150" s="121">
        <v>293.4340000000002</v>
      </c>
      <c r="F150" s="122">
        <f t="shared" si="2"/>
        <v>2933.0640000000003</v>
      </c>
    </row>
    <row r="151" spans="1:6" ht="12.75">
      <c r="A151" s="3" t="s">
        <v>205</v>
      </c>
      <c r="B151" t="s">
        <v>206</v>
      </c>
      <c r="C151" t="s">
        <v>455</v>
      </c>
      <c r="D151" s="121">
        <v>293.29</v>
      </c>
      <c r="E151" s="121">
        <v>32.605999999999995</v>
      </c>
      <c r="F151" s="122">
        <f t="shared" si="2"/>
        <v>325.896</v>
      </c>
    </row>
    <row r="152" spans="1:6" ht="12.75">
      <c r="A152" s="3" t="s">
        <v>207</v>
      </c>
      <c r="B152" t="s">
        <v>206</v>
      </c>
      <c r="C152" t="s">
        <v>456</v>
      </c>
      <c r="D152" s="121">
        <v>1173.17</v>
      </c>
      <c r="E152" s="121">
        <v>130.414</v>
      </c>
      <c r="F152" s="122">
        <f t="shared" si="2"/>
        <v>1303.584</v>
      </c>
    </row>
    <row r="153" spans="1:6" ht="12.75">
      <c r="A153" s="3" t="s">
        <v>208</v>
      </c>
      <c r="B153" t="s">
        <v>206</v>
      </c>
      <c r="C153" t="s">
        <v>457</v>
      </c>
      <c r="D153" s="121">
        <v>38714.54</v>
      </c>
      <c r="E153" s="121">
        <v>4303.732000000004</v>
      </c>
      <c r="F153" s="122">
        <f t="shared" si="2"/>
        <v>43018.272000000004</v>
      </c>
    </row>
    <row r="154" spans="1:6" ht="12.75">
      <c r="A154" s="3" t="s">
        <v>209</v>
      </c>
      <c r="B154" t="s">
        <v>210</v>
      </c>
      <c r="C154" t="s">
        <v>458</v>
      </c>
      <c r="D154" s="121">
        <v>3226.21</v>
      </c>
      <c r="E154" s="121">
        <v>358.6460000000002</v>
      </c>
      <c r="F154" s="122">
        <f t="shared" si="2"/>
        <v>3584.856</v>
      </c>
    </row>
    <row r="155" spans="1:6" ht="12.75">
      <c r="A155" s="3" t="s">
        <v>211</v>
      </c>
      <c r="B155" t="s">
        <v>212</v>
      </c>
      <c r="C155" t="s">
        <v>459</v>
      </c>
      <c r="D155" s="121">
        <v>22290.19</v>
      </c>
      <c r="E155" s="121">
        <v>2477.9060000000027</v>
      </c>
      <c r="F155" s="122">
        <f t="shared" si="2"/>
        <v>24768.096</v>
      </c>
    </row>
    <row r="156" spans="1:6" ht="12.75">
      <c r="A156" s="3" t="s">
        <v>213</v>
      </c>
      <c r="B156" t="s">
        <v>212</v>
      </c>
      <c r="C156" t="s">
        <v>460</v>
      </c>
      <c r="D156" s="121">
        <v>1173.17</v>
      </c>
      <c r="E156" s="121">
        <v>130.414</v>
      </c>
      <c r="F156" s="122">
        <f t="shared" si="2"/>
        <v>1303.584</v>
      </c>
    </row>
    <row r="157" spans="1:6" ht="12.75">
      <c r="A157" s="3" t="s">
        <v>214</v>
      </c>
      <c r="B157" t="s">
        <v>215</v>
      </c>
      <c r="C157" t="s">
        <v>461</v>
      </c>
      <c r="D157" s="121">
        <v>4399.38</v>
      </c>
      <c r="E157" s="121">
        <v>489.0600000000004</v>
      </c>
      <c r="F157" s="122">
        <f t="shared" si="2"/>
        <v>4888.4400000000005</v>
      </c>
    </row>
    <row r="158" spans="1:6" ht="12.75">
      <c r="A158" s="3" t="s">
        <v>216</v>
      </c>
      <c r="B158" t="s">
        <v>215</v>
      </c>
      <c r="C158" t="s">
        <v>462</v>
      </c>
      <c r="D158" s="121">
        <v>0</v>
      </c>
      <c r="E158" s="121">
        <v>0</v>
      </c>
      <c r="F158" s="122">
        <f t="shared" si="2"/>
        <v>0</v>
      </c>
    </row>
    <row r="159" spans="1:6" ht="12.75">
      <c r="A159" s="3" t="s">
        <v>217</v>
      </c>
      <c r="B159" t="s">
        <v>218</v>
      </c>
      <c r="C159" t="s">
        <v>463</v>
      </c>
      <c r="D159" s="121">
        <v>140780.16</v>
      </c>
      <c r="E159" s="121">
        <v>15649.920000000013</v>
      </c>
      <c r="F159" s="122">
        <f t="shared" si="2"/>
        <v>156430.08000000002</v>
      </c>
    </row>
    <row r="160" spans="1:6" ht="12.75">
      <c r="A160" s="3" t="s">
        <v>219</v>
      </c>
      <c r="B160" t="s">
        <v>220</v>
      </c>
      <c r="C160" t="s">
        <v>464</v>
      </c>
      <c r="D160" s="121">
        <v>0</v>
      </c>
      <c r="E160" s="121">
        <v>0</v>
      </c>
      <c r="F160" s="122">
        <f t="shared" si="2"/>
        <v>0</v>
      </c>
    </row>
    <row r="161" spans="1:6" ht="12.75">
      <c r="A161" s="3" t="s">
        <v>221</v>
      </c>
      <c r="B161" t="s">
        <v>220</v>
      </c>
      <c r="C161" t="s">
        <v>465</v>
      </c>
      <c r="D161" s="121">
        <v>14078.02</v>
      </c>
      <c r="E161" s="121">
        <v>1564.9880000000012</v>
      </c>
      <c r="F161" s="122">
        <f t="shared" si="2"/>
        <v>15643.008000000002</v>
      </c>
    </row>
    <row r="162" spans="1:6" ht="12.75">
      <c r="A162" s="3" t="s">
        <v>222</v>
      </c>
      <c r="B162" t="s">
        <v>223</v>
      </c>
      <c r="C162" t="s">
        <v>466</v>
      </c>
      <c r="D162" s="121">
        <v>4692.67</v>
      </c>
      <c r="E162" s="121">
        <v>521.6660000000002</v>
      </c>
      <c r="F162" s="122">
        <f t="shared" si="2"/>
        <v>5214.336</v>
      </c>
    </row>
    <row r="163" spans="1:6" ht="12.75">
      <c r="A163" s="3" t="s">
        <v>224</v>
      </c>
      <c r="B163" t="s">
        <v>223</v>
      </c>
      <c r="C163" t="s">
        <v>467</v>
      </c>
      <c r="D163" s="121">
        <v>5865.84</v>
      </c>
      <c r="E163" s="121">
        <v>652.0799999999999</v>
      </c>
      <c r="F163" s="122">
        <f t="shared" si="2"/>
        <v>6517.92</v>
      </c>
    </row>
    <row r="164" spans="1:6" ht="12.75">
      <c r="A164" s="3" t="s">
        <v>225</v>
      </c>
      <c r="B164" t="s">
        <v>223</v>
      </c>
      <c r="C164" t="s">
        <v>468</v>
      </c>
      <c r="D164" s="121">
        <v>0</v>
      </c>
      <c r="E164" s="121">
        <v>0</v>
      </c>
      <c r="F164" s="122">
        <f t="shared" si="2"/>
        <v>0</v>
      </c>
    </row>
    <row r="165" spans="1:6" ht="12.75">
      <c r="A165" s="3" t="s">
        <v>226</v>
      </c>
      <c r="B165" t="s">
        <v>223</v>
      </c>
      <c r="C165" t="s">
        <v>469</v>
      </c>
      <c r="D165" s="121">
        <v>1759.75</v>
      </c>
      <c r="E165" s="121">
        <v>195.6260000000002</v>
      </c>
      <c r="F165" s="122">
        <f t="shared" si="2"/>
        <v>1955.3760000000002</v>
      </c>
    </row>
    <row r="166" spans="1:6" ht="12.75">
      <c r="A166" s="3" t="s">
        <v>227</v>
      </c>
      <c r="B166" t="s">
        <v>223</v>
      </c>
      <c r="C166" t="s">
        <v>470</v>
      </c>
      <c r="D166" s="121">
        <v>0</v>
      </c>
      <c r="E166" s="121">
        <v>0</v>
      </c>
      <c r="F166" s="122">
        <f t="shared" si="2"/>
        <v>0</v>
      </c>
    </row>
    <row r="167" spans="1:6" ht="12.75">
      <c r="A167" s="3" t="s">
        <v>228</v>
      </c>
      <c r="B167" t="s">
        <v>229</v>
      </c>
      <c r="C167" t="s">
        <v>495</v>
      </c>
      <c r="D167" s="121">
        <v>51912.68</v>
      </c>
      <c r="E167" s="121">
        <v>5770.912000000004</v>
      </c>
      <c r="F167" s="122">
        <f t="shared" si="2"/>
        <v>57683.592000000004</v>
      </c>
    </row>
    <row r="168" spans="1:6" ht="12.75">
      <c r="A168" s="3" t="s">
        <v>230</v>
      </c>
      <c r="B168" t="s">
        <v>229</v>
      </c>
      <c r="C168" t="s">
        <v>471</v>
      </c>
      <c r="D168" s="121">
        <v>18770.69</v>
      </c>
      <c r="E168" s="121">
        <v>2086.6540000000023</v>
      </c>
      <c r="F168" s="122">
        <f t="shared" si="2"/>
        <v>20857.344</v>
      </c>
    </row>
    <row r="169" spans="1:6" ht="12.75">
      <c r="A169" s="3" t="s">
        <v>231</v>
      </c>
      <c r="B169" t="s">
        <v>229</v>
      </c>
      <c r="C169" t="s">
        <v>472</v>
      </c>
      <c r="D169" s="121">
        <v>52205.98</v>
      </c>
      <c r="E169" s="121">
        <v>5477.611999999994</v>
      </c>
      <c r="F169" s="122">
        <f t="shared" si="2"/>
        <v>57683.592</v>
      </c>
    </row>
    <row r="170" spans="1:6" ht="12.75">
      <c r="A170" s="3" t="s">
        <v>232</v>
      </c>
      <c r="B170" t="s">
        <v>229</v>
      </c>
      <c r="C170" t="s">
        <v>473</v>
      </c>
      <c r="D170" s="121">
        <v>22290.19</v>
      </c>
      <c r="E170" s="121">
        <v>2477.9060000000027</v>
      </c>
      <c r="F170" s="122">
        <f t="shared" si="2"/>
        <v>24768.096</v>
      </c>
    </row>
    <row r="171" spans="1:6" ht="12.75">
      <c r="A171" s="3" t="s">
        <v>233</v>
      </c>
      <c r="B171" t="s">
        <v>229</v>
      </c>
      <c r="C171" t="s">
        <v>474</v>
      </c>
      <c r="D171" s="121">
        <v>24049.94</v>
      </c>
      <c r="E171" s="121">
        <v>2673.532000000003</v>
      </c>
      <c r="F171" s="122">
        <f t="shared" si="2"/>
        <v>26723.472</v>
      </c>
    </row>
    <row r="172" spans="1:6" ht="12.75">
      <c r="A172" s="3" t="s">
        <v>234</v>
      </c>
      <c r="B172" t="s">
        <v>229</v>
      </c>
      <c r="C172" t="s">
        <v>475</v>
      </c>
      <c r="D172" s="121">
        <v>854066.3</v>
      </c>
      <c r="E172" s="121">
        <v>93965.16399999999</v>
      </c>
      <c r="F172" s="122">
        <f t="shared" si="2"/>
        <v>948031.464</v>
      </c>
    </row>
    <row r="173" spans="1:6" ht="12.75">
      <c r="A173" s="3" t="s">
        <v>235</v>
      </c>
      <c r="B173" t="s">
        <v>229</v>
      </c>
      <c r="C173" t="s">
        <v>476</v>
      </c>
      <c r="D173" s="121">
        <v>18184.1</v>
      </c>
      <c r="E173" s="121">
        <v>2021.4520000000048</v>
      </c>
      <c r="F173" s="122">
        <f t="shared" si="2"/>
        <v>20205.552000000003</v>
      </c>
    </row>
    <row r="174" spans="1:6" ht="12.75">
      <c r="A174" s="3" t="s">
        <v>236</v>
      </c>
      <c r="B174" t="s">
        <v>229</v>
      </c>
      <c r="C174" t="s">
        <v>477</v>
      </c>
      <c r="D174" s="121">
        <v>84761.39</v>
      </c>
      <c r="E174" s="121">
        <v>9422.554000000004</v>
      </c>
      <c r="F174" s="122">
        <f t="shared" si="2"/>
        <v>94183.944</v>
      </c>
    </row>
    <row r="175" spans="1:6" ht="12.75">
      <c r="A175" s="3" t="s">
        <v>237</v>
      </c>
      <c r="B175" t="s">
        <v>229</v>
      </c>
      <c r="C175" t="s">
        <v>478</v>
      </c>
      <c r="D175" s="121">
        <v>18770.69</v>
      </c>
      <c r="E175" s="121">
        <v>2086.6540000000023</v>
      </c>
      <c r="F175" s="122">
        <f t="shared" si="2"/>
        <v>20857.344</v>
      </c>
    </row>
    <row r="176" spans="1:6" ht="12.75">
      <c r="A176" s="3" t="s">
        <v>238</v>
      </c>
      <c r="B176" t="s">
        <v>229</v>
      </c>
      <c r="C176" t="s">
        <v>479</v>
      </c>
      <c r="D176" s="121">
        <v>0</v>
      </c>
      <c r="E176" s="121">
        <v>0</v>
      </c>
      <c r="F176" s="122">
        <f t="shared" si="2"/>
        <v>0</v>
      </c>
    </row>
    <row r="177" spans="1:6" ht="12.75">
      <c r="A177" s="3" t="s">
        <v>239</v>
      </c>
      <c r="B177" t="s">
        <v>229</v>
      </c>
      <c r="C177" t="s">
        <v>480</v>
      </c>
      <c r="D177" s="121">
        <v>293.29</v>
      </c>
      <c r="E177" s="121">
        <v>32.605999999999995</v>
      </c>
      <c r="F177" s="122">
        <f t="shared" si="2"/>
        <v>325.896</v>
      </c>
    </row>
    <row r="178" spans="1:6" ht="12.75">
      <c r="A178" s="3" t="s">
        <v>240</v>
      </c>
      <c r="B178" t="s">
        <v>229</v>
      </c>
      <c r="C178" t="s">
        <v>481</v>
      </c>
      <c r="D178" s="121">
        <v>586.58</v>
      </c>
      <c r="E178" s="121">
        <v>65.21199999999999</v>
      </c>
      <c r="F178" s="122">
        <f t="shared" si="2"/>
        <v>651.792</v>
      </c>
    </row>
    <row r="179" spans="1:6" ht="12.75">
      <c r="A179" s="3">
        <v>3200</v>
      </c>
      <c r="B179" t="s">
        <v>241</v>
      </c>
      <c r="C179" t="s">
        <v>242</v>
      </c>
      <c r="D179" s="121">
        <v>41940.76</v>
      </c>
      <c r="E179" s="121">
        <v>4662.368000000002</v>
      </c>
      <c r="F179" s="122">
        <f t="shared" si="2"/>
        <v>46603.128000000004</v>
      </c>
    </row>
    <row r="180" spans="1:6" ht="12.75">
      <c r="A180" s="3">
        <v>3210</v>
      </c>
      <c r="B180" t="s">
        <v>241</v>
      </c>
      <c r="C180" t="s">
        <v>243</v>
      </c>
      <c r="D180" s="121">
        <v>17597.52</v>
      </c>
      <c r="E180" s="121">
        <v>1956.2400000000016</v>
      </c>
      <c r="F180" s="122">
        <f t="shared" si="2"/>
        <v>19553.760000000002</v>
      </c>
    </row>
    <row r="181" spans="1:6" ht="12.75">
      <c r="A181" s="3">
        <v>3220</v>
      </c>
      <c r="B181" t="s">
        <v>241</v>
      </c>
      <c r="C181" t="s">
        <v>244</v>
      </c>
      <c r="D181" s="121">
        <v>4692.67</v>
      </c>
      <c r="E181" s="121">
        <v>521.6660000000002</v>
      </c>
      <c r="F181" s="122">
        <f t="shared" si="2"/>
        <v>5214.336</v>
      </c>
    </row>
    <row r="182" spans="1:6" ht="12.75">
      <c r="A182" s="3">
        <v>3230</v>
      </c>
      <c r="B182" t="s">
        <v>241</v>
      </c>
      <c r="C182" t="s">
        <v>245</v>
      </c>
      <c r="D182" s="121">
        <v>293.29</v>
      </c>
      <c r="E182" s="121">
        <v>32.605999999999995</v>
      </c>
      <c r="F182" s="122">
        <f t="shared" si="2"/>
        <v>325.896</v>
      </c>
    </row>
    <row r="183" spans="1:6" ht="12.75">
      <c r="A183" s="3">
        <v>8001</v>
      </c>
      <c r="B183" s="32" t="s">
        <v>303</v>
      </c>
      <c r="C183" s="58" t="s">
        <v>304</v>
      </c>
      <c r="D183" s="121">
        <v>512087.83</v>
      </c>
      <c r="E183" s="121">
        <v>56926.58599999995</v>
      </c>
      <c r="F183" s="122">
        <f t="shared" si="2"/>
        <v>569014.416</v>
      </c>
    </row>
    <row r="184" spans="1:6" ht="12.75">
      <c r="A184" s="108">
        <v>8041</v>
      </c>
      <c r="B184" s="108">
        <v>8041</v>
      </c>
      <c r="C184" s="109" t="s">
        <v>523</v>
      </c>
      <c r="D184" s="105"/>
      <c r="E184" s="105"/>
      <c r="F184" s="122">
        <f t="shared" si="2"/>
        <v>0</v>
      </c>
    </row>
    <row r="185" spans="1:6" ht="12.75">
      <c r="A185" s="108">
        <v>8042</v>
      </c>
      <c r="B185" s="108">
        <v>8042</v>
      </c>
      <c r="C185" s="109" t="s">
        <v>524</v>
      </c>
      <c r="D185" s="105"/>
      <c r="E185" s="105"/>
      <c r="F185" s="122">
        <f t="shared" si="2"/>
        <v>0</v>
      </c>
    </row>
    <row r="186" spans="1:6" ht="12.75">
      <c r="A186" s="108">
        <v>9025</v>
      </c>
      <c r="B186" s="108">
        <v>9025</v>
      </c>
      <c r="C186" s="109" t="s">
        <v>247</v>
      </c>
      <c r="D186" s="105"/>
      <c r="E186" s="105"/>
      <c r="F186" s="122">
        <f t="shared" si="2"/>
        <v>0</v>
      </c>
    </row>
    <row r="187" spans="1:7" ht="12.75">
      <c r="A187" s="3">
        <v>9030</v>
      </c>
      <c r="B187" s="3">
        <v>9030</v>
      </c>
      <c r="C187" t="s">
        <v>248</v>
      </c>
      <c r="D187" s="59"/>
      <c r="E187" s="59"/>
      <c r="F187" s="122">
        <f t="shared" si="2"/>
        <v>0</v>
      </c>
      <c r="G187" s="1"/>
    </row>
    <row r="188" spans="1:6" ht="12.75">
      <c r="A188" s="3">
        <v>9035</v>
      </c>
      <c r="B188" s="3">
        <v>9035</v>
      </c>
      <c r="C188" t="s">
        <v>249</v>
      </c>
      <c r="D188" s="59"/>
      <c r="E188" s="59"/>
      <c r="F188" s="122">
        <f t="shared" si="2"/>
        <v>0</v>
      </c>
    </row>
    <row r="189" spans="1:6" ht="12.75">
      <c r="A189" s="3">
        <v>9040</v>
      </c>
      <c r="B189" s="3">
        <v>9040</v>
      </c>
      <c r="C189" t="s">
        <v>250</v>
      </c>
      <c r="D189" s="59"/>
      <c r="E189" s="59"/>
      <c r="F189" s="122">
        <f t="shared" si="2"/>
        <v>0</v>
      </c>
    </row>
    <row r="190" spans="1:6" ht="12.75">
      <c r="A190" s="3">
        <v>9045</v>
      </c>
      <c r="B190" s="3">
        <v>9045</v>
      </c>
      <c r="C190" t="s">
        <v>251</v>
      </c>
      <c r="D190" s="59"/>
      <c r="E190" s="59"/>
      <c r="F190" s="122">
        <f t="shared" si="2"/>
        <v>0</v>
      </c>
    </row>
    <row r="191" spans="1:6" ht="12.75">
      <c r="A191" s="3">
        <v>9050</v>
      </c>
      <c r="B191" s="3">
        <v>9050</v>
      </c>
      <c r="C191" t="s">
        <v>252</v>
      </c>
      <c r="D191" s="59"/>
      <c r="E191" s="59"/>
      <c r="F191" s="122">
        <f t="shared" si="2"/>
        <v>0</v>
      </c>
    </row>
    <row r="192" spans="1:6" ht="12.75">
      <c r="A192" s="3">
        <v>9055</v>
      </c>
      <c r="B192" s="3">
        <v>9055</v>
      </c>
      <c r="C192" t="s">
        <v>253</v>
      </c>
      <c r="D192" s="59"/>
      <c r="E192" s="59"/>
      <c r="F192" s="122">
        <f t="shared" si="2"/>
        <v>0</v>
      </c>
    </row>
    <row r="193" spans="1:6" ht="12.75">
      <c r="A193" s="3">
        <v>9060</v>
      </c>
      <c r="B193" s="3">
        <v>9060</v>
      </c>
      <c r="C193" t="s">
        <v>254</v>
      </c>
      <c r="D193" s="59"/>
      <c r="E193" s="59"/>
      <c r="F193" s="122">
        <f t="shared" si="2"/>
        <v>0</v>
      </c>
    </row>
    <row r="194" spans="1:6" ht="12.75">
      <c r="A194" s="3">
        <v>9075</v>
      </c>
      <c r="B194" s="3">
        <v>9075</v>
      </c>
      <c r="C194" t="s">
        <v>255</v>
      </c>
      <c r="D194" s="59"/>
      <c r="E194" s="59"/>
      <c r="F194" s="122">
        <f t="shared" si="2"/>
        <v>0</v>
      </c>
    </row>
    <row r="195" spans="1:6" ht="12.75">
      <c r="A195" s="3">
        <v>9095</v>
      </c>
      <c r="B195" s="3">
        <v>9095</v>
      </c>
      <c r="C195" t="s">
        <v>256</v>
      </c>
      <c r="D195" s="59"/>
      <c r="E195" s="59"/>
      <c r="F195" s="122">
        <f t="shared" si="2"/>
        <v>0</v>
      </c>
    </row>
    <row r="196" spans="1:6" ht="12.75">
      <c r="A196" s="3">
        <v>9120</v>
      </c>
      <c r="B196" s="3">
        <v>9120</v>
      </c>
      <c r="C196" t="s">
        <v>257</v>
      </c>
      <c r="D196" s="59"/>
      <c r="E196" s="59"/>
      <c r="F196" s="122">
        <f t="shared" si="2"/>
        <v>0</v>
      </c>
    </row>
    <row r="197" spans="1:6" ht="12.75">
      <c r="A197" s="3">
        <v>9125</v>
      </c>
      <c r="B197" s="3">
        <v>9125</v>
      </c>
      <c r="C197" t="s">
        <v>258</v>
      </c>
      <c r="D197" s="59"/>
      <c r="E197" s="59"/>
      <c r="F197" s="122">
        <f t="shared" si="2"/>
        <v>0</v>
      </c>
    </row>
    <row r="198" spans="1:6" ht="12.75">
      <c r="A198" s="3">
        <v>9130</v>
      </c>
      <c r="B198" s="3">
        <v>9130</v>
      </c>
      <c r="C198" t="s">
        <v>482</v>
      </c>
      <c r="F198" s="122">
        <f aca="true" t="shared" si="3" ref="F198:F206">SUM(D198:E198)</f>
        <v>0</v>
      </c>
    </row>
    <row r="199" spans="1:6" ht="12.75">
      <c r="A199" s="3">
        <v>9135</v>
      </c>
      <c r="B199" s="3">
        <v>9135</v>
      </c>
      <c r="C199" t="s">
        <v>483</v>
      </c>
      <c r="F199" s="122">
        <f t="shared" si="3"/>
        <v>0</v>
      </c>
    </row>
    <row r="200" spans="1:6" ht="12.75">
      <c r="A200" s="3">
        <v>9140</v>
      </c>
      <c r="B200" s="3">
        <v>9140</v>
      </c>
      <c r="C200" t="s">
        <v>259</v>
      </c>
      <c r="F200" s="122">
        <f t="shared" si="3"/>
        <v>0</v>
      </c>
    </row>
    <row r="201" spans="1:6" ht="12.75">
      <c r="A201" s="3">
        <v>9145</v>
      </c>
      <c r="B201" s="3">
        <v>9145</v>
      </c>
      <c r="C201" t="s">
        <v>260</v>
      </c>
      <c r="F201" s="122">
        <f t="shared" si="3"/>
        <v>0</v>
      </c>
    </row>
    <row r="202" spans="1:6" ht="12.75">
      <c r="A202" s="3">
        <v>9150</v>
      </c>
      <c r="B202" s="3">
        <v>9150</v>
      </c>
      <c r="C202" t="s">
        <v>261</v>
      </c>
      <c r="F202" s="122">
        <f t="shared" si="3"/>
        <v>0</v>
      </c>
    </row>
    <row r="203" spans="1:6" ht="12.75">
      <c r="A203" s="3">
        <v>9160</v>
      </c>
      <c r="B203" s="3">
        <v>9160</v>
      </c>
      <c r="C203" t="s">
        <v>262</v>
      </c>
      <c r="F203" s="122">
        <f t="shared" si="3"/>
        <v>0</v>
      </c>
    </row>
    <row r="204" spans="1:6" ht="12.75">
      <c r="A204" s="3">
        <v>9165</v>
      </c>
      <c r="B204" s="3">
        <v>9165</v>
      </c>
      <c r="C204" t="s">
        <v>484</v>
      </c>
      <c r="F204" s="122">
        <f t="shared" si="3"/>
        <v>0</v>
      </c>
    </row>
    <row r="205" spans="1:6" ht="12.75">
      <c r="A205" s="3">
        <v>9170</v>
      </c>
      <c r="B205" s="3">
        <v>9170</v>
      </c>
      <c r="C205" t="s">
        <v>537</v>
      </c>
      <c r="F205" s="122">
        <f t="shared" si="3"/>
        <v>0</v>
      </c>
    </row>
    <row r="206" spans="1:6" ht="12.75">
      <c r="A206" s="3">
        <v>9175</v>
      </c>
      <c r="B206" s="3">
        <v>9175</v>
      </c>
      <c r="C206" t="s">
        <v>538</v>
      </c>
      <c r="F206" s="122">
        <f t="shared" si="3"/>
        <v>0</v>
      </c>
    </row>
    <row r="207" spans="6:7" ht="12.75">
      <c r="F207" s="123">
        <f>SUM(F5:F206)</f>
        <v>21608208.384000003</v>
      </c>
      <c r="G207" s="9"/>
    </row>
    <row r="208" spans="6:7" ht="12.75">
      <c r="F208" s="94"/>
      <c r="G208" s="9"/>
    </row>
    <row r="209" spans="6:7" ht="12.75">
      <c r="F209" s="94"/>
      <c r="G209" s="9"/>
    </row>
    <row r="210" spans="6:7" ht="12.75">
      <c r="F210" s="94"/>
      <c r="G210" s="9"/>
    </row>
    <row r="211" spans="6:7" ht="12.75">
      <c r="F211" s="94"/>
      <c r="G211" s="9"/>
    </row>
    <row r="212" spans="6:7" ht="12.75">
      <c r="F212" s="94"/>
      <c r="G212" s="9"/>
    </row>
    <row r="213" spans="6:7" ht="12.75">
      <c r="F213" s="94"/>
      <c r="G213" s="9"/>
    </row>
    <row r="214" spans="6:7" ht="12.75">
      <c r="F214" s="94"/>
      <c r="G214" s="9"/>
    </row>
    <row r="215" spans="6:7" ht="12.75">
      <c r="F215" s="94"/>
      <c r="G215" s="9"/>
    </row>
    <row r="216" spans="6:7" ht="12.75">
      <c r="F216" s="94"/>
      <c r="G216" s="9"/>
    </row>
    <row r="217" spans="6:7" ht="12.75">
      <c r="F217" s="94"/>
      <c r="G217" s="9"/>
    </row>
    <row r="218" spans="6:7" ht="12.75">
      <c r="F218" s="94"/>
      <c r="G218" s="9"/>
    </row>
    <row r="219" spans="6:7" ht="12.75">
      <c r="F219" s="94"/>
      <c r="G219" s="9"/>
    </row>
    <row r="220" spans="6:7" ht="12.75">
      <c r="F220" s="11"/>
      <c r="G220" s="9"/>
    </row>
    <row r="221" ht="12.75">
      <c r="F221" s="1"/>
    </row>
  </sheetData>
  <sheetProtection/>
  <printOptions/>
  <pageMargins left="0.75" right="0.75" top="1" bottom="1" header="0.5" footer="0.5"/>
  <pageSetup fitToHeight="0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5"/>
  <sheetViews>
    <sheetView zoomScalePageLayoutView="0" workbookViewId="0" topLeftCell="A1">
      <pane xSplit="3" ySplit="8" topLeftCell="D30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53" sqref="D53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33.140625" style="0" customWidth="1"/>
    <col min="4" max="10" width="19.7109375" style="0" customWidth="1"/>
    <col min="11" max="11" width="10.7109375" style="0" bestFit="1" customWidth="1"/>
  </cols>
  <sheetData>
    <row r="2" spans="1:6" ht="12.75">
      <c r="A2" s="3" t="s">
        <v>266</v>
      </c>
      <c r="C2" s="2" t="s">
        <v>274</v>
      </c>
      <c r="D2" s="2"/>
      <c r="E2" s="2"/>
      <c r="F2" s="2"/>
    </row>
    <row r="3" spans="2:6" ht="12.75">
      <c r="B3" t="s">
        <v>267</v>
      </c>
      <c r="C3" s="2" t="s">
        <v>275</v>
      </c>
      <c r="D3" s="2"/>
      <c r="E3" s="2"/>
      <c r="F3" s="2"/>
    </row>
    <row r="5" spans="4:9" ht="12.75">
      <c r="D5" s="15" t="s">
        <v>514</v>
      </c>
      <c r="E5" s="15" t="s">
        <v>514</v>
      </c>
      <c r="F5" s="15" t="s">
        <v>514</v>
      </c>
      <c r="G5" s="15" t="s">
        <v>514</v>
      </c>
      <c r="H5" s="15" t="s">
        <v>514</v>
      </c>
      <c r="I5" s="15" t="s">
        <v>514</v>
      </c>
    </row>
    <row r="6" spans="1:10" ht="12.75">
      <c r="A6" s="3" t="s">
        <v>0</v>
      </c>
      <c r="B6" t="s">
        <v>1</v>
      </c>
      <c r="C6" t="s">
        <v>2</v>
      </c>
      <c r="D6" s="15" t="s">
        <v>268</v>
      </c>
      <c r="E6" s="15" t="s">
        <v>497</v>
      </c>
      <c r="F6" s="15" t="s">
        <v>269</v>
      </c>
      <c r="G6" s="15" t="s">
        <v>270</v>
      </c>
      <c r="H6" s="15" t="s">
        <v>271</v>
      </c>
      <c r="I6" s="15" t="s">
        <v>272</v>
      </c>
      <c r="J6" s="3" t="s">
        <v>301</v>
      </c>
    </row>
    <row r="7" spans="4:10" ht="12.75">
      <c r="D7" s="15" t="s">
        <v>273</v>
      </c>
      <c r="E7" s="15" t="s">
        <v>263</v>
      </c>
      <c r="F7" s="15" t="s">
        <v>508</v>
      </c>
      <c r="G7" s="15" t="s">
        <v>508</v>
      </c>
      <c r="H7" s="15" t="s">
        <v>265</v>
      </c>
      <c r="I7" s="15" t="s">
        <v>508</v>
      </c>
      <c r="J7" s="3" t="s">
        <v>302</v>
      </c>
    </row>
    <row r="8" spans="4:10" ht="12.75">
      <c r="D8" s="15" t="s">
        <v>507</v>
      </c>
      <c r="E8" s="15"/>
      <c r="F8" s="15" t="s">
        <v>510</v>
      </c>
      <c r="G8" s="15" t="s">
        <v>509</v>
      </c>
      <c r="H8" s="15"/>
      <c r="I8" s="15" t="s">
        <v>506</v>
      </c>
      <c r="J8" s="3"/>
    </row>
    <row r="9" spans="4:9" ht="12.75">
      <c r="D9" s="9"/>
      <c r="E9" s="9"/>
      <c r="F9" s="9"/>
      <c r="G9" s="9"/>
      <c r="H9" s="9" t="s">
        <v>290</v>
      </c>
      <c r="I9" s="9"/>
    </row>
    <row r="10" spans="1:10" ht="12.75">
      <c r="A10" s="3" t="s">
        <v>5</v>
      </c>
      <c r="B10" t="s">
        <v>6</v>
      </c>
      <c r="C10" t="s">
        <v>309</v>
      </c>
      <c r="D10" s="86">
        <v>32758.62</v>
      </c>
      <c r="E10" s="86"/>
      <c r="F10" s="86"/>
      <c r="G10" s="86">
        <f>8759.34-1485.11+502.17</f>
        <v>7776.400000000001</v>
      </c>
      <c r="H10" s="86"/>
      <c r="I10" s="86"/>
      <c r="J10" s="14">
        <f>SUM(D10:I10)</f>
        <v>40535.02</v>
      </c>
    </row>
    <row r="11" spans="1:10" ht="12.75">
      <c r="A11" s="3" t="s">
        <v>7</v>
      </c>
      <c r="B11" t="s">
        <v>6</v>
      </c>
      <c r="C11" t="s">
        <v>310</v>
      </c>
      <c r="D11" s="86"/>
      <c r="E11" s="86"/>
      <c r="F11" s="86"/>
      <c r="G11" s="86"/>
      <c r="H11" s="86"/>
      <c r="I11" s="86"/>
      <c r="J11" s="14">
        <f aca="true" t="shared" si="0" ref="J11:J74">SUM(D11:I11)</f>
        <v>0</v>
      </c>
    </row>
    <row r="12" spans="1:10" ht="18">
      <c r="A12" s="3" t="s">
        <v>8</v>
      </c>
      <c r="B12" t="s">
        <v>6</v>
      </c>
      <c r="C12" t="s">
        <v>311</v>
      </c>
      <c r="D12" s="126"/>
      <c r="E12" s="126"/>
      <c r="F12" s="126"/>
      <c r="G12" s="126"/>
      <c r="H12" s="126"/>
      <c r="I12" s="126"/>
      <c r="J12" s="14">
        <f t="shared" si="0"/>
        <v>0</v>
      </c>
    </row>
    <row r="13" spans="1:10" ht="12.75">
      <c r="A13" s="3" t="s">
        <v>9</v>
      </c>
      <c r="B13" t="s">
        <v>6</v>
      </c>
      <c r="C13" t="s">
        <v>312</v>
      </c>
      <c r="D13" s="86"/>
      <c r="E13" s="86"/>
      <c r="F13" s="86"/>
      <c r="G13" s="86"/>
      <c r="H13" s="86"/>
      <c r="I13" s="86"/>
      <c r="J13" s="14">
        <f>SUM(D13:I13)</f>
        <v>0</v>
      </c>
    </row>
    <row r="14" spans="1:10" ht="12.75">
      <c r="A14" s="3" t="s">
        <v>10</v>
      </c>
      <c r="B14" t="s">
        <v>6</v>
      </c>
      <c r="C14" t="s">
        <v>313</v>
      </c>
      <c r="D14" s="86"/>
      <c r="E14" s="86"/>
      <c r="F14" s="86"/>
      <c r="G14" s="86"/>
      <c r="H14" s="86"/>
      <c r="I14" s="86"/>
      <c r="J14" s="14">
        <f t="shared" si="0"/>
        <v>0</v>
      </c>
    </row>
    <row r="15" spans="1:10" ht="12.75">
      <c r="A15" s="3" t="s">
        <v>11</v>
      </c>
      <c r="B15" t="s">
        <v>6</v>
      </c>
      <c r="C15" t="s">
        <v>314</v>
      </c>
      <c r="D15" s="86"/>
      <c r="E15" s="86"/>
      <c r="F15" s="86"/>
      <c r="G15" s="86"/>
      <c r="H15" s="86"/>
      <c r="I15" s="86"/>
      <c r="J15" s="14">
        <f t="shared" si="0"/>
        <v>0</v>
      </c>
    </row>
    <row r="16" spans="1:10" ht="12.75">
      <c r="A16" s="3" t="s">
        <v>12</v>
      </c>
      <c r="B16" t="s">
        <v>6</v>
      </c>
      <c r="C16" t="s">
        <v>315</v>
      </c>
      <c r="D16" s="86"/>
      <c r="E16" s="86"/>
      <c r="F16" s="86"/>
      <c r="G16" s="86"/>
      <c r="H16" s="86"/>
      <c r="I16" s="86"/>
      <c r="J16" s="14">
        <f t="shared" si="0"/>
        <v>0</v>
      </c>
    </row>
    <row r="17" spans="1:10" ht="12.75">
      <c r="A17" s="3" t="s">
        <v>13</v>
      </c>
      <c r="B17" t="s">
        <v>14</v>
      </c>
      <c r="C17" t="s">
        <v>316</v>
      </c>
      <c r="D17" s="86"/>
      <c r="E17" s="86"/>
      <c r="F17" s="86"/>
      <c r="G17" s="86"/>
      <c r="H17" s="86"/>
      <c r="I17" s="86"/>
      <c r="J17" s="14">
        <f t="shared" si="0"/>
        <v>0</v>
      </c>
    </row>
    <row r="18" spans="1:10" ht="12.75">
      <c r="A18" s="3" t="s">
        <v>15</v>
      </c>
      <c r="B18" t="s">
        <v>14</v>
      </c>
      <c r="C18" t="s">
        <v>317</v>
      </c>
      <c r="D18" s="86"/>
      <c r="E18" s="86"/>
      <c r="F18" s="86"/>
      <c r="G18" s="86"/>
      <c r="H18" s="86"/>
      <c r="I18" s="86"/>
      <c r="J18" s="14">
        <f t="shared" si="0"/>
        <v>0</v>
      </c>
    </row>
    <row r="19" spans="1:10" ht="12.75">
      <c r="A19" s="3" t="s">
        <v>16</v>
      </c>
      <c r="B19" t="s">
        <v>17</v>
      </c>
      <c r="C19" t="s">
        <v>318</v>
      </c>
      <c r="D19" s="86">
        <f>15157.68+42795.16</f>
        <v>57952.840000000004</v>
      </c>
      <c r="E19" s="86"/>
      <c r="F19" s="86"/>
      <c r="G19" s="86">
        <f>71.76-72.01+17065.28+13818.73</f>
        <v>30883.76</v>
      </c>
      <c r="H19" s="86"/>
      <c r="I19" s="86"/>
      <c r="J19" s="14">
        <f t="shared" si="0"/>
        <v>88836.6</v>
      </c>
    </row>
    <row r="20" spans="1:10" ht="12.75">
      <c r="A20" s="3" t="s">
        <v>18</v>
      </c>
      <c r="B20" t="s">
        <v>17</v>
      </c>
      <c r="C20" t="s">
        <v>319</v>
      </c>
      <c r="D20" s="86"/>
      <c r="E20" s="86"/>
      <c r="F20" s="86"/>
      <c r="G20" s="86"/>
      <c r="H20" s="86"/>
      <c r="I20" s="86"/>
      <c r="J20" s="14">
        <f t="shared" si="0"/>
        <v>0</v>
      </c>
    </row>
    <row r="21" spans="1:10" ht="12.75">
      <c r="A21" s="3" t="s">
        <v>19</v>
      </c>
      <c r="B21" t="s">
        <v>17</v>
      </c>
      <c r="C21" t="s">
        <v>320</v>
      </c>
      <c r="D21" s="86"/>
      <c r="E21" s="86"/>
      <c r="F21" s="86"/>
      <c r="G21" s="86"/>
      <c r="H21" s="86"/>
      <c r="I21" s="86"/>
      <c r="J21" s="14">
        <f t="shared" si="0"/>
        <v>0</v>
      </c>
    </row>
    <row r="22" spans="1:10" ht="12.75">
      <c r="A22" s="3" t="s">
        <v>20</v>
      </c>
      <c r="B22" t="s">
        <v>17</v>
      </c>
      <c r="C22" t="s">
        <v>321</v>
      </c>
      <c r="D22" s="86"/>
      <c r="E22" s="86"/>
      <c r="F22" s="86"/>
      <c r="G22" s="86"/>
      <c r="H22" s="86"/>
      <c r="I22" s="86"/>
      <c r="J22" s="14">
        <f t="shared" si="0"/>
        <v>0</v>
      </c>
    </row>
    <row r="23" spans="1:10" ht="12.75">
      <c r="A23" s="3" t="s">
        <v>21</v>
      </c>
      <c r="B23" t="s">
        <v>17</v>
      </c>
      <c r="C23" t="s">
        <v>322</v>
      </c>
      <c r="D23" s="86">
        <v>7647.54</v>
      </c>
      <c r="E23" s="86"/>
      <c r="F23" s="86"/>
      <c r="G23" s="86">
        <v>-1932.11</v>
      </c>
      <c r="H23" s="86"/>
      <c r="I23" s="86"/>
      <c r="J23" s="14">
        <f t="shared" si="0"/>
        <v>5715.43</v>
      </c>
    </row>
    <row r="24" spans="1:10" ht="12.75">
      <c r="A24" s="3" t="s">
        <v>22</v>
      </c>
      <c r="B24" t="s">
        <v>17</v>
      </c>
      <c r="C24" t="s">
        <v>323</v>
      </c>
      <c r="D24" s="86"/>
      <c r="E24" s="86"/>
      <c r="F24" s="86"/>
      <c r="G24" s="86"/>
      <c r="H24" s="86"/>
      <c r="I24" s="86"/>
      <c r="J24" s="14">
        <f t="shared" si="0"/>
        <v>0</v>
      </c>
    </row>
    <row r="25" spans="1:10" ht="12.75">
      <c r="A25" s="3" t="s">
        <v>23</v>
      </c>
      <c r="B25" t="s">
        <v>17</v>
      </c>
      <c r="C25" t="s">
        <v>324</v>
      </c>
      <c r="D25" s="86"/>
      <c r="E25" s="86"/>
      <c r="F25" s="86"/>
      <c r="G25" s="86"/>
      <c r="H25" s="86"/>
      <c r="I25" s="86"/>
      <c r="J25" s="14">
        <f t="shared" si="0"/>
        <v>0</v>
      </c>
    </row>
    <row r="26" spans="1:10" ht="12.75">
      <c r="A26" s="3" t="s">
        <v>24</v>
      </c>
      <c r="B26" t="s">
        <v>25</v>
      </c>
      <c r="C26" t="s">
        <v>325</v>
      </c>
      <c r="D26" s="86"/>
      <c r="E26" s="86"/>
      <c r="F26" s="86"/>
      <c r="G26" s="86"/>
      <c r="H26" s="86"/>
      <c r="I26" s="86"/>
      <c r="J26" s="14">
        <f t="shared" si="0"/>
        <v>0</v>
      </c>
    </row>
    <row r="27" spans="1:10" ht="12.75">
      <c r="A27" s="3" t="s">
        <v>26</v>
      </c>
      <c r="B27" t="s">
        <v>27</v>
      </c>
      <c r="C27" t="s">
        <v>326</v>
      </c>
      <c r="D27" s="86">
        <v>1796.29</v>
      </c>
      <c r="E27" s="86"/>
      <c r="F27" s="86"/>
      <c r="G27" s="86">
        <v>1704.55</v>
      </c>
      <c r="H27" s="86"/>
      <c r="I27" s="86"/>
      <c r="J27" s="14">
        <f t="shared" si="0"/>
        <v>3500.84</v>
      </c>
    </row>
    <row r="28" spans="1:10" ht="12.75">
      <c r="A28" s="3" t="s">
        <v>28</v>
      </c>
      <c r="B28" t="s">
        <v>27</v>
      </c>
      <c r="C28" t="s">
        <v>327</v>
      </c>
      <c r="D28" s="86">
        <v>6176.55</v>
      </c>
      <c r="E28" s="86"/>
      <c r="F28" s="86"/>
      <c r="G28" s="86">
        <f>1027.25-286.94+689+581.31</f>
        <v>2010.62</v>
      </c>
      <c r="H28" s="86"/>
      <c r="I28" s="86"/>
      <c r="J28" s="14">
        <f t="shared" si="0"/>
        <v>8187.17</v>
      </c>
    </row>
    <row r="29" spans="1:10" ht="12.75">
      <c r="A29" s="3" t="s">
        <v>29</v>
      </c>
      <c r="B29" t="s">
        <v>27</v>
      </c>
      <c r="C29" t="s">
        <v>328</v>
      </c>
      <c r="D29" s="86"/>
      <c r="E29" s="86"/>
      <c r="F29" s="86"/>
      <c r="G29" s="86">
        <f>-740.85+312.79+2104.3</f>
        <v>1676.2400000000002</v>
      </c>
      <c r="H29" s="86"/>
      <c r="I29" s="86"/>
      <c r="J29" s="14">
        <f t="shared" si="0"/>
        <v>1676.2400000000002</v>
      </c>
    </row>
    <row r="30" spans="1:10" ht="12.75">
      <c r="A30" s="3" t="s">
        <v>30</v>
      </c>
      <c r="B30" t="s">
        <v>27</v>
      </c>
      <c r="C30" t="s">
        <v>329</v>
      </c>
      <c r="D30" s="86">
        <f>5314.67+2835.03</f>
        <v>8149.700000000001</v>
      </c>
      <c r="E30" s="86"/>
      <c r="F30" s="86"/>
      <c r="G30" s="86">
        <f>275.43+1146.53</f>
        <v>1421.96</v>
      </c>
      <c r="H30" s="86"/>
      <c r="I30" s="86"/>
      <c r="J30" s="14">
        <f t="shared" si="0"/>
        <v>9571.66</v>
      </c>
    </row>
    <row r="31" spans="1:10" ht="12.75">
      <c r="A31" s="3" t="s">
        <v>31</v>
      </c>
      <c r="B31" t="s">
        <v>27</v>
      </c>
      <c r="C31" t="s">
        <v>330</v>
      </c>
      <c r="D31" s="86"/>
      <c r="E31" s="86"/>
      <c r="F31" s="86"/>
      <c r="G31" s="86">
        <v>-157.17</v>
      </c>
      <c r="H31" s="86"/>
      <c r="I31" s="86"/>
      <c r="J31" s="14">
        <f t="shared" si="0"/>
        <v>-157.17</v>
      </c>
    </row>
    <row r="32" spans="1:10" ht="12.75">
      <c r="A32" s="3" t="s">
        <v>32</v>
      </c>
      <c r="B32" t="s">
        <v>33</v>
      </c>
      <c r="C32" t="s">
        <v>331</v>
      </c>
      <c r="D32" s="86">
        <f>73815.66+427486</f>
        <v>501301.66000000003</v>
      </c>
      <c r="E32" s="86"/>
      <c r="F32" s="86"/>
      <c r="G32" s="86">
        <f>-293.53+222.97+549.1</f>
        <v>478.5400000000001</v>
      </c>
      <c r="H32" s="86"/>
      <c r="I32" s="86"/>
      <c r="J32" s="14">
        <f t="shared" si="0"/>
        <v>501780.2</v>
      </c>
    </row>
    <row r="33" spans="1:10" ht="12.75">
      <c r="A33" s="3" t="s">
        <v>35</v>
      </c>
      <c r="B33" t="s">
        <v>33</v>
      </c>
      <c r="C33" t="s">
        <v>332</v>
      </c>
      <c r="D33" s="86">
        <f>3206.36+6626.36</f>
        <v>9832.72</v>
      </c>
      <c r="E33" s="86"/>
      <c r="F33" s="86"/>
      <c r="G33" s="86">
        <f>-1573.5-25.99+16499.05</f>
        <v>14899.56</v>
      </c>
      <c r="H33" s="86"/>
      <c r="I33" s="86"/>
      <c r="J33" s="14">
        <f t="shared" si="0"/>
        <v>24732.28</v>
      </c>
    </row>
    <row r="34" spans="1:10" ht="12.75">
      <c r="A34" s="3" t="s">
        <v>36</v>
      </c>
      <c r="B34" t="s">
        <v>37</v>
      </c>
      <c r="C34" t="s">
        <v>333</v>
      </c>
      <c r="D34" s="86"/>
      <c r="E34" s="86"/>
      <c r="F34" s="86"/>
      <c r="G34" s="86"/>
      <c r="H34" s="86"/>
      <c r="I34" s="86"/>
      <c r="J34" s="14">
        <f t="shared" si="0"/>
        <v>0</v>
      </c>
    </row>
    <row r="35" spans="1:10" ht="12.75">
      <c r="A35" s="3" t="s">
        <v>38</v>
      </c>
      <c r="B35" t="s">
        <v>37</v>
      </c>
      <c r="C35" t="s">
        <v>334</v>
      </c>
      <c r="D35" s="86"/>
      <c r="E35" s="86"/>
      <c r="F35" s="86"/>
      <c r="G35" s="86"/>
      <c r="H35" s="86"/>
      <c r="I35" s="86"/>
      <c r="J35" s="14">
        <f t="shared" si="0"/>
        <v>0</v>
      </c>
    </row>
    <row r="36" spans="1:10" ht="12.75">
      <c r="A36" s="3" t="s">
        <v>39</v>
      </c>
      <c r="B36" t="s">
        <v>40</v>
      </c>
      <c r="C36" t="s">
        <v>335</v>
      </c>
      <c r="D36" s="86"/>
      <c r="E36" s="86"/>
      <c r="F36" s="86"/>
      <c r="G36" s="86"/>
      <c r="H36" s="86"/>
      <c r="I36" s="86"/>
      <c r="J36" s="14">
        <f t="shared" si="0"/>
        <v>0</v>
      </c>
    </row>
    <row r="37" spans="1:10" ht="12.75">
      <c r="A37" s="3" t="s">
        <v>41</v>
      </c>
      <c r="B37" t="s">
        <v>40</v>
      </c>
      <c r="C37" t="s">
        <v>336</v>
      </c>
      <c r="D37" s="86"/>
      <c r="E37" s="86"/>
      <c r="F37" s="86"/>
      <c r="G37" s="86"/>
      <c r="H37" s="86"/>
      <c r="I37" s="86"/>
      <c r="J37" s="14">
        <f t="shared" si="0"/>
        <v>0</v>
      </c>
    </row>
    <row r="38" spans="1:10" ht="12.75">
      <c r="A38" s="3" t="s">
        <v>42</v>
      </c>
      <c r="B38" t="s">
        <v>43</v>
      </c>
      <c r="C38" t="s">
        <v>337</v>
      </c>
      <c r="D38" s="86">
        <v>19176.01</v>
      </c>
      <c r="E38" s="86"/>
      <c r="F38" s="86"/>
      <c r="G38" s="86">
        <f>-330.17+57.01</f>
        <v>-273.16</v>
      </c>
      <c r="H38" s="86"/>
      <c r="I38" s="86"/>
      <c r="J38" s="14">
        <f t="shared" si="0"/>
        <v>18902.85</v>
      </c>
    </row>
    <row r="39" spans="1:10" ht="12.75">
      <c r="A39" s="3" t="s">
        <v>45</v>
      </c>
      <c r="B39" t="s">
        <v>43</v>
      </c>
      <c r="C39" t="s">
        <v>338</v>
      </c>
      <c r="D39" s="86"/>
      <c r="E39" s="86"/>
      <c r="F39" s="86"/>
      <c r="G39" s="86"/>
      <c r="H39" s="86"/>
      <c r="I39" s="86"/>
      <c r="J39" s="14">
        <f t="shared" si="0"/>
        <v>0</v>
      </c>
    </row>
    <row r="40" spans="1:10" ht="12.75">
      <c r="A40" s="3" t="s">
        <v>46</v>
      </c>
      <c r="B40" t="s">
        <v>47</v>
      </c>
      <c r="C40" t="s">
        <v>339</v>
      </c>
      <c r="D40" s="86"/>
      <c r="E40" s="86"/>
      <c r="F40" s="86"/>
      <c r="G40" s="86"/>
      <c r="H40" s="86"/>
      <c r="I40" s="86"/>
      <c r="J40" s="14">
        <f t="shared" si="0"/>
        <v>0</v>
      </c>
    </row>
    <row r="41" spans="1:10" ht="12.75">
      <c r="A41" s="3" t="s">
        <v>48</v>
      </c>
      <c r="B41" t="s">
        <v>49</v>
      </c>
      <c r="C41" t="s">
        <v>340</v>
      </c>
      <c r="D41" s="86"/>
      <c r="E41" s="86"/>
      <c r="F41" s="86"/>
      <c r="G41" s="86"/>
      <c r="H41" s="86"/>
      <c r="I41" s="86"/>
      <c r="J41" s="14">
        <f t="shared" si="0"/>
        <v>0</v>
      </c>
    </row>
    <row r="42" spans="1:10" ht="12.75">
      <c r="A42" s="3" t="s">
        <v>50</v>
      </c>
      <c r="B42" t="s">
        <v>49</v>
      </c>
      <c r="C42" t="s">
        <v>341</v>
      </c>
      <c r="D42" s="86">
        <f>1612.72+1579.78</f>
        <v>3192.5</v>
      </c>
      <c r="E42" s="86"/>
      <c r="F42" s="86"/>
      <c r="G42" s="86">
        <f>141.77-803.13-656.84</f>
        <v>-1318.2</v>
      </c>
      <c r="H42" s="86"/>
      <c r="I42" s="86"/>
      <c r="J42" s="14">
        <f t="shared" si="0"/>
        <v>1874.3</v>
      </c>
    </row>
    <row r="43" spans="1:10" ht="12.75">
      <c r="A43" s="3" t="s">
        <v>51</v>
      </c>
      <c r="B43" t="s">
        <v>49</v>
      </c>
      <c r="C43" t="s">
        <v>342</v>
      </c>
      <c r="D43" s="86"/>
      <c r="E43" s="86"/>
      <c r="F43" s="86"/>
      <c r="G43" s="86"/>
      <c r="H43" s="86"/>
      <c r="I43" s="86"/>
      <c r="J43" s="14">
        <f t="shared" si="0"/>
        <v>0</v>
      </c>
    </row>
    <row r="44" spans="1:10" ht="12.75">
      <c r="A44" s="3" t="s">
        <v>52</v>
      </c>
      <c r="B44" t="s">
        <v>53</v>
      </c>
      <c r="C44" t="s">
        <v>343</v>
      </c>
      <c r="D44" s="86"/>
      <c r="E44" s="86"/>
      <c r="F44" s="86"/>
      <c r="G44" s="86">
        <f>-515.64-45.85</f>
        <v>-561.49</v>
      </c>
      <c r="H44" s="86"/>
      <c r="I44" s="86"/>
      <c r="J44" s="14">
        <f t="shared" si="0"/>
        <v>-561.49</v>
      </c>
    </row>
    <row r="45" spans="1:10" ht="12.75">
      <c r="A45" s="3" t="s">
        <v>54</v>
      </c>
      <c r="B45" t="s">
        <v>53</v>
      </c>
      <c r="C45" t="s">
        <v>344</v>
      </c>
      <c r="D45" s="86">
        <f>786.11</f>
        <v>786.11</v>
      </c>
      <c r="E45" s="86"/>
      <c r="F45" s="86"/>
      <c r="G45" s="86">
        <f>-349.14+7436.07+11501.1</f>
        <v>18588.03</v>
      </c>
      <c r="H45" s="86"/>
      <c r="I45" s="86"/>
      <c r="J45" s="14">
        <f t="shared" si="0"/>
        <v>19374.14</v>
      </c>
    </row>
    <row r="46" spans="1:10" ht="12.75">
      <c r="A46" s="3" t="s">
        <v>55</v>
      </c>
      <c r="B46" t="s">
        <v>56</v>
      </c>
      <c r="C46" t="s">
        <v>345</v>
      </c>
      <c r="D46" s="86">
        <f>7198.85+4257.46</f>
        <v>11456.310000000001</v>
      </c>
      <c r="E46" s="86"/>
      <c r="F46" s="86"/>
      <c r="G46" s="86">
        <f>1293.12+756.61</f>
        <v>2049.73</v>
      </c>
      <c r="H46" s="86"/>
      <c r="I46" s="86"/>
      <c r="J46" s="14">
        <f t="shared" si="0"/>
        <v>13506.04</v>
      </c>
    </row>
    <row r="47" spans="1:10" ht="12.75">
      <c r="A47" s="3" t="s">
        <v>57</v>
      </c>
      <c r="B47" t="s">
        <v>58</v>
      </c>
      <c r="C47" t="s">
        <v>346</v>
      </c>
      <c r="D47" s="86">
        <f>5512.85+5592.88</f>
        <v>11105.73</v>
      </c>
      <c r="E47" s="86"/>
      <c r="F47" s="86"/>
      <c r="G47" s="86">
        <f>-596.09+264.77+103.07</f>
        <v>-228.25000000000006</v>
      </c>
      <c r="H47" s="86"/>
      <c r="I47" s="86"/>
      <c r="J47" s="14">
        <f t="shared" si="0"/>
        <v>10877.48</v>
      </c>
    </row>
    <row r="48" spans="1:10" ht="12.75">
      <c r="A48" s="3" t="s">
        <v>59</v>
      </c>
      <c r="B48" t="s">
        <v>60</v>
      </c>
      <c r="C48" t="s">
        <v>347</v>
      </c>
      <c r="D48" s="86"/>
      <c r="E48" s="86"/>
      <c r="F48" s="86"/>
      <c r="G48" s="86"/>
      <c r="H48" s="86"/>
      <c r="I48" s="86"/>
      <c r="J48" s="14">
        <f t="shared" si="0"/>
        <v>0</v>
      </c>
    </row>
    <row r="49" spans="1:10" ht="12.75">
      <c r="A49" s="3" t="s">
        <v>61</v>
      </c>
      <c r="B49" t="s">
        <v>62</v>
      </c>
      <c r="C49" t="s">
        <v>348</v>
      </c>
      <c r="D49" s="86">
        <v>-266811.61</v>
      </c>
      <c r="E49" s="86"/>
      <c r="F49" s="86"/>
      <c r="G49" s="86">
        <v>27837.27</v>
      </c>
      <c r="H49" s="86"/>
      <c r="I49" s="86"/>
      <c r="J49" s="14">
        <f t="shared" si="0"/>
        <v>-238974.34</v>
      </c>
    </row>
    <row r="50" spans="1:10" ht="12.75">
      <c r="A50" s="3" t="s">
        <v>63</v>
      </c>
      <c r="B50" t="s">
        <v>64</v>
      </c>
      <c r="C50" t="s">
        <v>349</v>
      </c>
      <c r="D50" s="86">
        <f>2819.39+4359.19+1524.7</f>
        <v>8703.28</v>
      </c>
      <c r="E50" s="86"/>
      <c r="F50" s="86"/>
      <c r="G50" s="86">
        <f>-4831.9+868.41-2569.76-2080.88</f>
        <v>-8614.130000000001</v>
      </c>
      <c r="H50" s="86"/>
      <c r="I50" s="86"/>
      <c r="J50" s="14">
        <f t="shared" si="0"/>
        <v>89.14999999999964</v>
      </c>
    </row>
    <row r="51" spans="1:10" ht="12.75">
      <c r="A51" s="3" t="s">
        <v>65</v>
      </c>
      <c r="B51" t="s">
        <v>66</v>
      </c>
      <c r="C51" t="s">
        <v>350</v>
      </c>
      <c r="D51" s="86">
        <v>32090.51</v>
      </c>
      <c r="E51" s="86"/>
      <c r="F51" s="86"/>
      <c r="G51" s="86">
        <v>76623.08</v>
      </c>
      <c r="H51" s="86"/>
      <c r="I51" s="86"/>
      <c r="J51" s="14">
        <f t="shared" si="0"/>
        <v>108713.59</v>
      </c>
    </row>
    <row r="52" spans="1:10" ht="12.75">
      <c r="A52" s="3" t="s">
        <v>67</v>
      </c>
      <c r="B52" t="s">
        <v>68</v>
      </c>
      <c r="C52" t="s">
        <v>351</v>
      </c>
      <c r="D52" s="86">
        <f>17196.48+13589.24</f>
        <v>30785.72</v>
      </c>
      <c r="E52" s="86"/>
      <c r="F52" s="86"/>
      <c r="G52" s="86">
        <v>33919.2</v>
      </c>
      <c r="H52" s="86"/>
      <c r="I52" s="86"/>
      <c r="J52" s="14">
        <f t="shared" si="0"/>
        <v>64704.92</v>
      </c>
    </row>
    <row r="53" spans="1:10" ht="12.75">
      <c r="A53" s="3" t="s">
        <v>69</v>
      </c>
      <c r="B53" t="s">
        <v>70</v>
      </c>
      <c r="C53" t="s">
        <v>352</v>
      </c>
      <c r="D53" s="86">
        <f>9303.28+2290.3+6193.34</f>
        <v>17786.920000000002</v>
      </c>
      <c r="E53" s="86"/>
      <c r="F53" s="86"/>
      <c r="G53" s="86">
        <f>972.14-164.82-6885.51</f>
        <v>-6078.1900000000005</v>
      </c>
      <c r="H53" s="86"/>
      <c r="I53" s="86"/>
      <c r="J53" s="14">
        <f t="shared" si="0"/>
        <v>11708.730000000001</v>
      </c>
    </row>
    <row r="54" spans="1:10" ht="12.75">
      <c r="A54" s="3" t="s">
        <v>71</v>
      </c>
      <c r="B54" t="s">
        <v>70</v>
      </c>
      <c r="C54" t="s">
        <v>353</v>
      </c>
      <c r="D54" s="86"/>
      <c r="E54" s="86"/>
      <c r="F54" s="86"/>
      <c r="G54" s="86">
        <v>-1026.9</v>
      </c>
      <c r="H54" s="86"/>
      <c r="I54" s="86"/>
      <c r="J54" s="14">
        <f t="shared" si="0"/>
        <v>-1026.9</v>
      </c>
    </row>
    <row r="55" spans="1:10" ht="12.75">
      <c r="A55" s="3" t="s">
        <v>73</v>
      </c>
      <c r="B55" t="s">
        <v>70</v>
      </c>
      <c r="C55" t="s">
        <v>354</v>
      </c>
      <c r="D55" s="86">
        <v>1927</v>
      </c>
      <c r="E55" s="86"/>
      <c r="F55" s="86"/>
      <c r="G55" s="86">
        <f>-55.71+372.83</f>
        <v>317.12</v>
      </c>
      <c r="H55" s="86"/>
      <c r="I55" s="86"/>
      <c r="J55" s="14">
        <f t="shared" si="0"/>
        <v>2244.12</v>
      </c>
    </row>
    <row r="56" spans="1:10" ht="12.75">
      <c r="A56" s="3" t="s">
        <v>74</v>
      </c>
      <c r="B56" t="s">
        <v>70</v>
      </c>
      <c r="C56" t="s">
        <v>355</v>
      </c>
      <c r="D56" s="86">
        <v>5531.87</v>
      </c>
      <c r="E56" s="86"/>
      <c r="F56" s="86"/>
      <c r="G56" s="86">
        <f>-7293.74-4589.37</f>
        <v>-11883.11</v>
      </c>
      <c r="H56" s="86"/>
      <c r="I56" s="86"/>
      <c r="J56" s="14">
        <f t="shared" si="0"/>
        <v>-6351.240000000001</v>
      </c>
    </row>
    <row r="57" spans="1:10" ht="12.75">
      <c r="A57" s="3" t="s">
        <v>75</v>
      </c>
      <c r="B57" t="s">
        <v>70</v>
      </c>
      <c r="C57" t="s">
        <v>356</v>
      </c>
      <c r="D57" s="86"/>
      <c r="E57" s="86"/>
      <c r="F57" s="86"/>
      <c r="G57" s="86">
        <v>-1134.5</v>
      </c>
      <c r="H57" s="86"/>
      <c r="I57" s="86"/>
      <c r="J57" s="14">
        <f t="shared" si="0"/>
        <v>-1134.5</v>
      </c>
    </row>
    <row r="58" spans="1:10" ht="12.75">
      <c r="A58" s="3" t="s">
        <v>76</v>
      </c>
      <c r="B58" t="s">
        <v>77</v>
      </c>
      <c r="C58" t="s">
        <v>357</v>
      </c>
      <c r="D58" s="86">
        <f>2290.55+1627.26+9833.24</f>
        <v>13751.05</v>
      </c>
      <c r="E58" s="86"/>
      <c r="F58" s="86"/>
      <c r="G58" s="86">
        <f>1983.92+383.15+310.26</f>
        <v>2677.33</v>
      </c>
      <c r="H58" s="86"/>
      <c r="I58" s="86"/>
      <c r="J58" s="14">
        <f t="shared" si="0"/>
        <v>16428.379999999997</v>
      </c>
    </row>
    <row r="59" spans="1:10" ht="12.75">
      <c r="A59" s="3" t="s">
        <v>78</v>
      </c>
      <c r="B59" t="s">
        <v>77</v>
      </c>
      <c r="C59" t="s">
        <v>358</v>
      </c>
      <c r="D59" s="86"/>
      <c r="E59" s="86"/>
      <c r="F59" s="86"/>
      <c r="G59" s="86">
        <f>-74.17+1194.41</f>
        <v>1120.24</v>
      </c>
      <c r="H59" s="86"/>
      <c r="I59" s="86"/>
      <c r="J59" s="14">
        <f t="shared" si="0"/>
        <v>1120.24</v>
      </c>
    </row>
    <row r="60" spans="1:10" ht="12.75">
      <c r="A60" s="3" t="s">
        <v>79</v>
      </c>
      <c r="B60" t="s">
        <v>77</v>
      </c>
      <c r="C60" t="s">
        <v>359</v>
      </c>
      <c r="D60" s="86">
        <f>31717.01+14556.21</f>
        <v>46273.22</v>
      </c>
      <c r="E60" s="86"/>
      <c r="F60" s="86"/>
      <c r="G60" s="86">
        <f>269.73-6973.28</f>
        <v>-6703.549999999999</v>
      </c>
      <c r="H60" s="86"/>
      <c r="I60" s="86"/>
      <c r="J60" s="14">
        <f t="shared" si="0"/>
        <v>39569.67</v>
      </c>
    </row>
    <row r="61" spans="1:10" ht="12.75">
      <c r="A61" s="3" t="s">
        <v>80</v>
      </c>
      <c r="B61" t="s">
        <v>77</v>
      </c>
      <c r="C61" t="s">
        <v>360</v>
      </c>
      <c r="D61" s="86"/>
      <c r="E61" s="86"/>
      <c r="F61" s="86"/>
      <c r="G61" s="86">
        <f>-17278.61-18190.75</f>
        <v>-35469.36</v>
      </c>
      <c r="H61" s="86"/>
      <c r="I61" s="86"/>
      <c r="J61" s="14">
        <f t="shared" si="0"/>
        <v>-35469.36</v>
      </c>
    </row>
    <row r="62" spans="1:10" ht="12.75">
      <c r="A62" s="3" t="s">
        <v>81</v>
      </c>
      <c r="B62" t="s">
        <v>77</v>
      </c>
      <c r="C62" t="s">
        <v>361</v>
      </c>
      <c r="D62" s="86"/>
      <c r="E62" s="86"/>
      <c r="F62" s="86"/>
      <c r="G62" s="86"/>
      <c r="H62" s="86"/>
      <c r="I62" s="86"/>
      <c r="J62" s="14">
        <f t="shared" si="0"/>
        <v>0</v>
      </c>
    </row>
    <row r="63" spans="1:10" ht="12.75">
      <c r="A63" s="3" t="s">
        <v>82</v>
      </c>
      <c r="B63" t="s">
        <v>77</v>
      </c>
      <c r="C63" t="s">
        <v>362</v>
      </c>
      <c r="D63" s="86">
        <v>17620.56</v>
      </c>
      <c r="E63" s="86"/>
      <c r="F63" s="86"/>
      <c r="G63" s="86">
        <f>-1536.68+530.33-313.06</f>
        <v>-1319.41</v>
      </c>
      <c r="H63" s="86"/>
      <c r="I63" s="86"/>
      <c r="J63" s="14">
        <f t="shared" si="0"/>
        <v>16301.150000000001</v>
      </c>
    </row>
    <row r="64" spans="1:10" ht="12.75">
      <c r="A64" s="3" t="s">
        <v>83</v>
      </c>
      <c r="B64" t="s">
        <v>77</v>
      </c>
      <c r="C64" t="s">
        <v>363</v>
      </c>
      <c r="D64" s="86"/>
      <c r="E64" s="86"/>
      <c r="F64" s="86"/>
      <c r="G64" s="86"/>
      <c r="H64" s="86"/>
      <c r="I64" s="86"/>
      <c r="J64" s="14">
        <f t="shared" si="0"/>
        <v>0</v>
      </c>
    </row>
    <row r="65" spans="1:10" ht="12.75">
      <c r="A65" s="3" t="s">
        <v>84</v>
      </c>
      <c r="B65" t="s">
        <v>77</v>
      </c>
      <c r="C65" t="s">
        <v>364</v>
      </c>
      <c r="D65" s="86"/>
      <c r="E65" s="86"/>
      <c r="F65" s="86"/>
      <c r="G65" s="86"/>
      <c r="H65" s="86"/>
      <c r="I65" s="86"/>
      <c r="J65" s="14">
        <f t="shared" si="0"/>
        <v>0</v>
      </c>
    </row>
    <row r="66" spans="1:10" ht="12.75">
      <c r="A66" s="3" t="s">
        <v>85</v>
      </c>
      <c r="B66" t="s">
        <v>77</v>
      </c>
      <c r="C66" t="s">
        <v>365</v>
      </c>
      <c r="D66" s="86"/>
      <c r="E66" s="86"/>
      <c r="F66" s="86"/>
      <c r="G66" s="86"/>
      <c r="H66" s="86"/>
      <c r="I66" s="86"/>
      <c r="J66" s="14">
        <f t="shared" si="0"/>
        <v>0</v>
      </c>
    </row>
    <row r="67" spans="1:10" ht="12.75">
      <c r="A67" s="3" t="s">
        <v>86</v>
      </c>
      <c r="B67" t="s">
        <v>77</v>
      </c>
      <c r="C67" t="s">
        <v>366</v>
      </c>
      <c r="D67" s="86"/>
      <c r="E67" s="86"/>
      <c r="F67" s="86"/>
      <c r="G67" s="86"/>
      <c r="H67" s="86"/>
      <c r="I67" s="86"/>
      <c r="J67" s="14">
        <f t="shared" si="0"/>
        <v>0</v>
      </c>
    </row>
    <row r="68" spans="1:10" ht="12.75">
      <c r="A68" s="3" t="s">
        <v>87</v>
      </c>
      <c r="B68" t="s">
        <v>77</v>
      </c>
      <c r="C68" t="s">
        <v>367</v>
      </c>
      <c r="D68" s="86"/>
      <c r="E68" s="86"/>
      <c r="F68" s="86"/>
      <c r="G68" s="86"/>
      <c r="H68" s="86"/>
      <c r="I68" s="86"/>
      <c r="J68" s="14">
        <f t="shared" si="0"/>
        <v>0</v>
      </c>
    </row>
    <row r="69" spans="1:10" ht="12.75">
      <c r="A69" s="3" t="s">
        <v>88</v>
      </c>
      <c r="B69" t="s">
        <v>77</v>
      </c>
      <c r="C69" t="s">
        <v>368</v>
      </c>
      <c r="D69" s="86"/>
      <c r="E69" s="86"/>
      <c r="F69" s="86"/>
      <c r="G69" s="86"/>
      <c r="H69" s="86"/>
      <c r="I69" s="86"/>
      <c r="J69" s="14">
        <f t="shared" si="0"/>
        <v>0</v>
      </c>
    </row>
    <row r="70" spans="1:10" ht="12.75">
      <c r="A70" s="3" t="s">
        <v>89</v>
      </c>
      <c r="B70" t="s">
        <v>77</v>
      </c>
      <c r="C70" t="s">
        <v>369</v>
      </c>
      <c r="D70" s="86"/>
      <c r="E70" s="86"/>
      <c r="F70" s="86"/>
      <c r="G70" s="86"/>
      <c r="H70" s="86"/>
      <c r="I70" s="86"/>
      <c r="J70" s="14">
        <f t="shared" si="0"/>
        <v>0</v>
      </c>
    </row>
    <row r="71" spans="1:10" ht="12.75">
      <c r="A71" s="3" t="s">
        <v>90</v>
      </c>
      <c r="B71" t="s">
        <v>77</v>
      </c>
      <c r="C71" t="s">
        <v>370</v>
      </c>
      <c r="D71" s="86"/>
      <c r="E71" s="86"/>
      <c r="F71" s="86"/>
      <c r="G71" s="86">
        <f>2350.25-432.06-487.96</f>
        <v>1430.23</v>
      </c>
      <c r="H71" s="86"/>
      <c r="I71" s="86"/>
      <c r="J71" s="14">
        <f t="shared" si="0"/>
        <v>1430.23</v>
      </c>
    </row>
    <row r="72" spans="1:10" ht="12.75">
      <c r="A72" s="3" t="s">
        <v>91</v>
      </c>
      <c r="B72" t="s">
        <v>77</v>
      </c>
      <c r="C72" t="s">
        <v>371</v>
      </c>
      <c r="D72" s="86">
        <v>883.98</v>
      </c>
      <c r="E72" s="86"/>
      <c r="F72" s="86"/>
      <c r="G72" s="86">
        <f>2513.07-7261.59-7583.78</f>
        <v>-12332.3</v>
      </c>
      <c r="H72" s="86"/>
      <c r="I72" s="86"/>
      <c r="J72" s="14">
        <f t="shared" si="0"/>
        <v>-11448.32</v>
      </c>
    </row>
    <row r="73" spans="1:10" ht="12.75">
      <c r="A73" s="3" t="s">
        <v>92</v>
      </c>
      <c r="B73" t="s">
        <v>93</v>
      </c>
      <c r="C73" t="s">
        <v>372</v>
      </c>
      <c r="D73" s="86">
        <f>-83169.06-27656.79</f>
        <v>-110825.85</v>
      </c>
      <c r="E73" s="86"/>
      <c r="F73" s="86"/>
      <c r="G73" s="86">
        <f>834.79+858.46</f>
        <v>1693.25</v>
      </c>
      <c r="H73" s="86"/>
      <c r="I73" s="86"/>
      <c r="J73" s="14">
        <f t="shared" si="0"/>
        <v>-109132.6</v>
      </c>
    </row>
    <row r="74" spans="1:10" ht="12.75">
      <c r="A74" s="3" t="s">
        <v>94</v>
      </c>
      <c r="B74" t="s">
        <v>93</v>
      </c>
      <c r="C74" t="s">
        <v>373</v>
      </c>
      <c r="D74" s="86">
        <f>1358.95+17963.97+18832.91</f>
        <v>38155.83</v>
      </c>
      <c r="E74" s="86"/>
      <c r="F74" s="86"/>
      <c r="G74" s="86">
        <f>5397.25+4744.78+32507.52</f>
        <v>42649.55</v>
      </c>
      <c r="H74" s="86"/>
      <c r="I74" s="86"/>
      <c r="J74" s="14">
        <f t="shared" si="0"/>
        <v>80805.38</v>
      </c>
    </row>
    <row r="75" spans="1:10" ht="12.75">
      <c r="A75" s="3" t="s">
        <v>95</v>
      </c>
      <c r="B75" t="s">
        <v>93</v>
      </c>
      <c r="C75" t="s">
        <v>374</v>
      </c>
      <c r="D75" s="86"/>
      <c r="E75" s="86"/>
      <c r="F75" s="86"/>
      <c r="G75" s="86">
        <f>264.96+3449.22</f>
        <v>3714.18</v>
      </c>
      <c r="H75" s="86"/>
      <c r="I75" s="86"/>
      <c r="J75" s="14">
        <f aca="true" t="shared" si="1" ref="J75:J138">SUM(D75:I75)</f>
        <v>3714.18</v>
      </c>
    </row>
    <row r="76" spans="1:10" ht="12.75">
      <c r="A76" s="3" t="s">
        <v>96</v>
      </c>
      <c r="B76" t="s">
        <v>97</v>
      </c>
      <c r="C76" t="s">
        <v>375</v>
      </c>
      <c r="D76" s="86">
        <v>1391.45</v>
      </c>
      <c r="E76" s="86"/>
      <c r="F76" s="86"/>
      <c r="G76" s="86">
        <f>3537.29+3538.5</f>
        <v>7075.79</v>
      </c>
      <c r="H76" s="86"/>
      <c r="I76" s="86"/>
      <c r="J76" s="14">
        <f t="shared" si="1"/>
        <v>8467.24</v>
      </c>
    </row>
    <row r="77" spans="1:10" ht="12.75">
      <c r="A77" s="3" t="s">
        <v>98</v>
      </c>
      <c r="B77" t="s">
        <v>97</v>
      </c>
      <c r="C77" t="s">
        <v>376</v>
      </c>
      <c r="D77" s="86"/>
      <c r="E77" s="86"/>
      <c r="F77" s="86"/>
      <c r="G77" s="86"/>
      <c r="H77" s="86"/>
      <c r="I77" s="86"/>
      <c r="J77" s="14">
        <f t="shared" si="1"/>
        <v>0</v>
      </c>
    </row>
    <row r="78" spans="1:10" ht="12.75">
      <c r="A78" s="3" t="s">
        <v>99</v>
      </c>
      <c r="B78" t="s">
        <v>97</v>
      </c>
      <c r="C78" t="s">
        <v>377</v>
      </c>
      <c r="D78" s="86"/>
      <c r="E78" s="86"/>
      <c r="F78" s="86"/>
      <c r="G78" s="86"/>
      <c r="H78" s="86"/>
      <c r="I78" s="86"/>
      <c r="J78" s="14">
        <f t="shared" si="1"/>
        <v>0</v>
      </c>
    </row>
    <row r="79" spans="1:10" ht="12.75">
      <c r="A79" s="3" t="s">
        <v>100</v>
      </c>
      <c r="B79" t="s">
        <v>101</v>
      </c>
      <c r="C79" t="s">
        <v>378</v>
      </c>
      <c r="D79" s="86">
        <v>1483.57</v>
      </c>
      <c r="E79" s="86"/>
      <c r="F79" s="86"/>
      <c r="G79" s="86">
        <f>3762.43-5680.31</f>
        <v>-1917.8800000000006</v>
      </c>
      <c r="H79" s="86"/>
      <c r="I79" s="86"/>
      <c r="J79" s="14">
        <f t="shared" si="1"/>
        <v>-434.3100000000006</v>
      </c>
    </row>
    <row r="80" spans="1:10" ht="12.75">
      <c r="A80" s="3" t="s">
        <v>102</v>
      </c>
      <c r="B80" t="s">
        <v>103</v>
      </c>
      <c r="C80" t="s">
        <v>379</v>
      </c>
      <c r="D80" s="86"/>
      <c r="E80" s="86"/>
      <c r="F80" s="86"/>
      <c r="G80" s="86">
        <f>-5173.53-2000.31</f>
        <v>-7173.84</v>
      </c>
      <c r="H80" s="86"/>
      <c r="I80" s="86"/>
      <c r="J80" s="14">
        <f t="shared" si="1"/>
        <v>-7173.84</v>
      </c>
    </row>
    <row r="81" spans="1:10" ht="12.75">
      <c r="A81" s="3" t="s">
        <v>104</v>
      </c>
      <c r="B81" t="s">
        <v>103</v>
      </c>
      <c r="C81" t="s">
        <v>380</v>
      </c>
      <c r="D81" s="86">
        <v>9138.73</v>
      </c>
      <c r="E81" s="86"/>
      <c r="F81" s="86"/>
      <c r="G81" s="86">
        <f>771.82+1029.09</f>
        <v>1800.9099999999999</v>
      </c>
      <c r="H81" s="86"/>
      <c r="I81" s="86"/>
      <c r="J81" s="14">
        <f t="shared" si="1"/>
        <v>10939.64</v>
      </c>
    </row>
    <row r="82" spans="1:10" ht="12.75">
      <c r="A82" s="3" t="s">
        <v>105</v>
      </c>
      <c r="B82" t="s">
        <v>106</v>
      </c>
      <c r="C82" t="s">
        <v>381</v>
      </c>
      <c r="D82" s="86"/>
      <c r="E82" s="86"/>
      <c r="F82" s="86"/>
      <c r="G82" s="86"/>
      <c r="H82" s="86"/>
      <c r="I82" s="86"/>
      <c r="J82" s="14">
        <f t="shared" si="1"/>
        <v>0</v>
      </c>
    </row>
    <row r="83" spans="1:10" ht="12.75">
      <c r="A83" s="3" t="s">
        <v>107</v>
      </c>
      <c r="B83" t="s">
        <v>108</v>
      </c>
      <c r="C83" t="s">
        <v>382</v>
      </c>
      <c r="D83" s="86"/>
      <c r="E83" s="86"/>
      <c r="F83" s="86"/>
      <c r="G83" s="86">
        <f>-934.66+136.05</f>
        <v>-798.6099999999999</v>
      </c>
      <c r="H83" s="86"/>
      <c r="I83" s="86"/>
      <c r="J83" s="14">
        <f t="shared" si="1"/>
        <v>-798.6099999999999</v>
      </c>
    </row>
    <row r="84" spans="1:10" ht="12.75">
      <c r="A84" s="3" t="s">
        <v>109</v>
      </c>
      <c r="B84" t="s">
        <v>110</v>
      </c>
      <c r="C84" t="s">
        <v>383</v>
      </c>
      <c r="D84" s="86"/>
      <c r="E84" s="86"/>
      <c r="F84" s="86"/>
      <c r="G84" s="86"/>
      <c r="H84" s="86"/>
      <c r="I84" s="86"/>
      <c r="J84" s="14">
        <f t="shared" si="1"/>
        <v>0</v>
      </c>
    </row>
    <row r="85" spans="1:10" ht="12.75">
      <c r="A85" s="3" t="s">
        <v>111</v>
      </c>
      <c r="B85" t="s">
        <v>110</v>
      </c>
      <c r="C85" t="s">
        <v>384</v>
      </c>
      <c r="D85" s="86">
        <f>-2264.8+8101.66</f>
        <v>5836.86</v>
      </c>
      <c r="E85" s="86"/>
      <c r="F85" s="86"/>
      <c r="G85" s="86">
        <f>7076.08+7077.66+6816.75</f>
        <v>20970.489999999998</v>
      </c>
      <c r="H85" s="86"/>
      <c r="I85" s="86"/>
      <c r="J85" s="14">
        <f t="shared" si="1"/>
        <v>26807.35</v>
      </c>
    </row>
    <row r="86" spans="1:10" ht="12.75">
      <c r="A86" s="3" t="s">
        <v>112</v>
      </c>
      <c r="B86" t="s">
        <v>113</v>
      </c>
      <c r="C86" t="s">
        <v>385</v>
      </c>
      <c r="D86" s="86"/>
      <c r="E86" s="86"/>
      <c r="F86" s="86"/>
      <c r="G86" s="86"/>
      <c r="H86" s="86"/>
      <c r="I86" s="86"/>
      <c r="J86" s="14">
        <f t="shared" si="1"/>
        <v>0</v>
      </c>
    </row>
    <row r="87" spans="1:10" ht="12.75">
      <c r="A87" s="3" t="s">
        <v>114</v>
      </c>
      <c r="B87" t="s">
        <v>115</v>
      </c>
      <c r="C87" t="s">
        <v>386</v>
      </c>
      <c r="D87" s="86"/>
      <c r="E87" s="86"/>
      <c r="F87" s="86"/>
      <c r="G87" s="86"/>
      <c r="H87" s="86"/>
      <c r="I87" s="86"/>
      <c r="J87" s="14">
        <f t="shared" si="1"/>
        <v>0</v>
      </c>
    </row>
    <row r="88" spans="1:10" ht="12.75">
      <c r="A88" s="3" t="s">
        <v>116</v>
      </c>
      <c r="B88" t="s">
        <v>72</v>
      </c>
      <c r="C88" t="s">
        <v>387</v>
      </c>
      <c r="D88" s="86"/>
      <c r="E88" s="86"/>
      <c r="F88" s="86"/>
      <c r="G88" s="86">
        <v>-584.95</v>
      </c>
      <c r="H88" s="86"/>
      <c r="I88" s="86"/>
      <c r="J88" s="14">
        <f t="shared" si="1"/>
        <v>-584.95</v>
      </c>
    </row>
    <row r="89" spans="1:10" ht="12.75">
      <c r="A89" s="3" t="s">
        <v>117</v>
      </c>
      <c r="B89" t="s">
        <v>72</v>
      </c>
      <c r="C89" t="s">
        <v>388</v>
      </c>
      <c r="D89" s="86"/>
      <c r="E89" s="86"/>
      <c r="F89" s="86"/>
      <c r="G89" s="86">
        <v>1700.54</v>
      </c>
      <c r="H89" s="86"/>
      <c r="I89" s="86"/>
      <c r="J89" s="14">
        <f t="shared" si="1"/>
        <v>1700.54</v>
      </c>
    </row>
    <row r="90" spans="1:10" ht="12.75">
      <c r="A90" s="3" t="s">
        <v>118</v>
      </c>
      <c r="B90" t="s">
        <v>44</v>
      </c>
      <c r="C90" t="s">
        <v>389</v>
      </c>
      <c r="D90" s="86"/>
      <c r="E90" s="86"/>
      <c r="F90" s="86"/>
      <c r="G90" s="86">
        <v>1470.96</v>
      </c>
      <c r="H90" s="86"/>
      <c r="I90" s="86"/>
      <c r="J90" s="14">
        <f t="shared" si="1"/>
        <v>1470.96</v>
      </c>
    </row>
    <row r="91" spans="1:10" ht="12.75">
      <c r="A91" s="3" t="s">
        <v>119</v>
      </c>
      <c r="B91" t="s">
        <v>44</v>
      </c>
      <c r="C91" t="s">
        <v>390</v>
      </c>
      <c r="D91" s="86"/>
      <c r="E91" s="86"/>
      <c r="F91" s="86"/>
      <c r="G91" s="86">
        <f>-425.75-465.2</f>
        <v>-890.95</v>
      </c>
      <c r="H91" s="86"/>
      <c r="I91" s="86"/>
      <c r="J91" s="14">
        <f t="shared" si="1"/>
        <v>-890.95</v>
      </c>
    </row>
    <row r="92" spans="1:10" ht="12.75">
      <c r="A92" s="3" t="s">
        <v>120</v>
      </c>
      <c r="B92" t="s">
        <v>44</v>
      </c>
      <c r="C92" t="s">
        <v>391</v>
      </c>
      <c r="D92" s="86"/>
      <c r="E92" s="86"/>
      <c r="F92" s="86"/>
      <c r="G92" s="86"/>
      <c r="H92" s="86"/>
      <c r="I92" s="86"/>
      <c r="J92" s="14">
        <f t="shared" si="1"/>
        <v>0</v>
      </c>
    </row>
    <row r="93" spans="1:10" ht="12.75">
      <c r="A93" s="3" t="s">
        <v>121</v>
      </c>
      <c r="B93" t="s">
        <v>44</v>
      </c>
      <c r="C93" t="s">
        <v>392</v>
      </c>
      <c r="D93" s="86">
        <v>2407.64</v>
      </c>
      <c r="E93" s="86"/>
      <c r="F93" s="86"/>
      <c r="G93" s="86">
        <f>-170.24-47.84</f>
        <v>-218.08</v>
      </c>
      <c r="H93" s="86"/>
      <c r="I93" s="86"/>
      <c r="J93" s="14">
        <f t="shared" si="1"/>
        <v>2189.56</v>
      </c>
    </row>
    <row r="94" spans="1:10" ht="12.75">
      <c r="A94" s="3" t="s">
        <v>122</v>
      </c>
      <c r="B94" t="s">
        <v>44</v>
      </c>
      <c r="C94" t="s">
        <v>393</v>
      </c>
      <c r="D94" s="86">
        <f>2602.06+5071.25</f>
        <v>7673.3099999999995</v>
      </c>
      <c r="E94" s="86"/>
      <c r="F94" s="86"/>
      <c r="G94" s="86">
        <f>-259.45+972.52+787.5</f>
        <v>1500.57</v>
      </c>
      <c r="H94" s="86"/>
      <c r="I94" s="86"/>
      <c r="J94" s="14">
        <f t="shared" si="1"/>
        <v>9173.88</v>
      </c>
    </row>
    <row r="95" spans="1:10" ht="12.75">
      <c r="A95" s="3" t="s">
        <v>123</v>
      </c>
      <c r="B95" t="s">
        <v>124</v>
      </c>
      <c r="C95" t="s">
        <v>394</v>
      </c>
      <c r="D95" s="86">
        <f>1946.59+4640.77</f>
        <v>6587.360000000001</v>
      </c>
      <c r="E95" s="86"/>
      <c r="F95" s="86"/>
      <c r="G95" s="86">
        <f>261.09+958.73+808.89</f>
        <v>2028.71</v>
      </c>
      <c r="H95" s="86"/>
      <c r="I95" s="86"/>
      <c r="J95" s="14">
        <f t="shared" si="1"/>
        <v>8616.07</v>
      </c>
    </row>
    <row r="96" spans="1:10" ht="12.75">
      <c r="A96" s="3" t="s">
        <v>125</v>
      </c>
      <c r="B96" t="s">
        <v>126</v>
      </c>
      <c r="C96" t="s">
        <v>395</v>
      </c>
      <c r="D96" s="86"/>
      <c r="E96" s="86"/>
      <c r="F96" s="86"/>
      <c r="G96" s="86"/>
      <c r="H96" s="86"/>
      <c r="I96" s="86"/>
      <c r="J96" s="14">
        <f t="shared" si="1"/>
        <v>0</v>
      </c>
    </row>
    <row r="97" spans="1:10" ht="12.75">
      <c r="A97" s="3" t="s">
        <v>127</v>
      </c>
      <c r="B97" t="s">
        <v>126</v>
      </c>
      <c r="C97" t="s">
        <v>396</v>
      </c>
      <c r="D97" s="86"/>
      <c r="E97" s="86"/>
      <c r="F97" s="86"/>
      <c r="G97" s="86"/>
      <c r="H97" s="86"/>
      <c r="I97" s="86"/>
      <c r="J97" s="14">
        <f t="shared" si="1"/>
        <v>0</v>
      </c>
    </row>
    <row r="98" spans="1:10" ht="12.75">
      <c r="A98" s="3" t="s">
        <v>128</v>
      </c>
      <c r="B98" t="s">
        <v>126</v>
      </c>
      <c r="C98" t="s">
        <v>397</v>
      </c>
      <c r="D98" s="86"/>
      <c r="E98" s="86"/>
      <c r="F98" s="86"/>
      <c r="G98" s="86"/>
      <c r="H98" s="86"/>
      <c r="I98" s="86"/>
      <c r="J98" s="14">
        <f t="shared" si="1"/>
        <v>0</v>
      </c>
    </row>
    <row r="99" spans="1:10" ht="12.75">
      <c r="A99" s="3" t="s">
        <v>129</v>
      </c>
      <c r="B99" t="s">
        <v>130</v>
      </c>
      <c r="C99" t="s">
        <v>398</v>
      </c>
      <c r="D99" s="86"/>
      <c r="E99" s="86"/>
      <c r="F99" s="86"/>
      <c r="G99" s="86"/>
      <c r="H99" s="86"/>
      <c r="I99" s="86"/>
      <c r="J99" s="14">
        <f t="shared" si="1"/>
        <v>0</v>
      </c>
    </row>
    <row r="100" spans="1:10" ht="12.75">
      <c r="A100" s="3" t="s">
        <v>131</v>
      </c>
      <c r="B100" t="s">
        <v>130</v>
      </c>
      <c r="C100" t="s">
        <v>399</v>
      </c>
      <c r="D100" s="86"/>
      <c r="E100" s="86"/>
      <c r="F100" s="86"/>
      <c r="G100" s="86"/>
      <c r="H100" s="86"/>
      <c r="I100" s="86"/>
      <c r="J100" s="14">
        <f t="shared" si="1"/>
        <v>0</v>
      </c>
    </row>
    <row r="101" spans="1:10" ht="12.75">
      <c r="A101" s="3" t="s">
        <v>132</v>
      </c>
      <c r="B101" t="s">
        <v>130</v>
      </c>
      <c r="C101" t="s">
        <v>400</v>
      </c>
      <c r="D101" s="86"/>
      <c r="E101" s="86"/>
      <c r="F101" s="86"/>
      <c r="G101" s="86"/>
      <c r="H101" s="86"/>
      <c r="I101" s="86"/>
      <c r="J101" s="14">
        <f t="shared" si="1"/>
        <v>0</v>
      </c>
    </row>
    <row r="102" spans="1:10" ht="12.75">
      <c r="A102" s="3" t="s">
        <v>133</v>
      </c>
      <c r="B102" t="s">
        <v>34</v>
      </c>
      <c r="C102" t="s">
        <v>401</v>
      </c>
      <c r="D102" s="86"/>
      <c r="E102" s="86"/>
      <c r="F102" s="86"/>
      <c r="G102" s="86"/>
      <c r="H102" s="86"/>
      <c r="I102" s="86"/>
      <c r="J102" s="14">
        <f t="shared" si="1"/>
        <v>0</v>
      </c>
    </row>
    <row r="103" spans="1:10" ht="12.75">
      <c r="A103" s="3" t="s">
        <v>134</v>
      </c>
      <c r="B103" t="s">
        <v>34</v>
      </c>
      <c r="C103" t="s">
        <v>402</v>
      </c>
      <c r="D103" s="86">
        <v>7488.09</v>
      </c>
      <c r="E103" s="86"/>
      <c r="F103" s="86"/>
      <c r="G103" s="86">
        <v>-7568.52</v>
      </c>
      <c r="H103" s="86"/>
      <c r="I103" s="86"/>
      <c r="J103" s="14">
        <f t="shared" si="1"/>
        <v>-80.43000000000029</v>
      </c>
    </row>
    <row r="104" spans="1:10" ht="12.75">
      <c r="A104" s="3" t="s">
        <v>135</v>
      </c>
      <c r="B104" t="s">
        <v>34</v>
      </c>
      <c r="C104" t="s">
        <v>403</v>
      </c>
      <c r="D104" s="86"/>
      <c r="E104" s="86"/>
      <c r="F104" s="86"/>
      <c r="G104" s="86"/>
      <c r="H104" s="86"/>
      <c r="I104" s="86"/>
      <c r="J104" s="14">
        <f t="shared" si="1"/>
        <v>0</v>
      </c>
    </row>
    <row r="105" spans="1:10" ht="12.75">
      <c r="A105" s="3" t="s">
        <v>136</v>
      </c>
      <c r="B105" t="s">
        <v>34</v>
      </c>
      <c r="C105" t="s">
        <v>404</v>
      </c>
      <c r="D105" s="86">
        <f>6131.42+2075.2</f>
        <v>8206.619999999999</v>
      </c>
      <c r="E105" s="86"/>
      <c r="F105" s="86"/>
      <c r="G105" s="86">
        <f>-1856.57+1777.84</f>
        <v>-78.73000000000002</v>
      </c>
      <c r="H105" s="86"/>
      <c r="I105" s="86"/>
      <c r="J105" s="14">
        <f t="shared" si="1"/>
        <v>8127.889999999999</v>
      </c>
    </row>
    <row r="106" spans="1:10" ht="12.75">
      <c r="A106" s="3" t="s">
        <v>137</v>
      </c>
      <c r="B106" t="s">
        <v>34</v>
      </c>
      <c r="C106" t="s">
        <v>405</v>
      </c>
      <c r="D106" s="86"/>
      <c r="E106" s="86"/>
      <c r="F106" s="86"/>
      <c r="G106" s="86">
        <v>-6105.31</v>
      </c>
      <c r="H106" s="86"/>
      <c r="I106" s="86"/>
      <c r="J106" s="14">
        <f t="shared" si="1"/>
        <v>-6105.31</v>
      </c>
    </row>
    <row r="107" spans="1:10" ht="12.75">
      <c r="A107" s="3" t="s">
        <v>138</v>
      </c>
      <c r="B107" t="s">
        <v>34</v>
      </c>
      <c r="C107" t="s">
        <v>406</v>
      </c>
      <c r="D107" s="86">
        <v>5057.27</v>
      </c>
      <c r="E107" s="86"/>
      <c r="F107" s="86"/>
      <c r="G107" s="86">
        <f>207.93+1215.56</f>
        <v>1423.49</v>
      </c>
      <c r="H107" s="86"/>
      <c r="I107" s="86"/>
      <c r="J107" s="14">
        <f t="shared" si="1"/>
        <v>6480.76</v>
      </c>
    </row>
    <row r="108" spans="1:10" ht="12.75">
      <c r="A108" s="3" t="s">
        <v>139</v>
      </c>
      <c r="B108" t="s">
        <v>140</v>
      </c>
      <c r="C108" t="s">
        <v>407</v>
      </c>
      <c r="D108" s="86"/>
      <c r="E108" s="86"/>
      <c r="F108" s="86"/>
      <c r="G108" s="86"/>
      <c r="H108" s="86"/>
      <c r="I108" s="86"/>
      <c r="J108" s="14">
        <f t="shared" si="1"/>
        <v>0</v>
      </c>
    </row>
    <row r="109" spans="1:10" ht="12.75">
      <c r="A109" s="3" t="s">
        <v>141</v>
      </c>
      <c r="B109" t="s">
        <v>140</v>
      </c>
      <c r="C109" t="s">
        <v>408</v>
      </c>
      <c r="D109" s="86"/>
      <c r="E109" s="86"/>
      <c r="F109" s="86"/>
      <c r="G109" s="86"/>
      <c r="H109" s="86"/>
      <c r="I109" s="86"/>
      <c r="J109" s="14">
        <f t="shared" si="1"/>
        <v>0</v>
      </c>
    </row>
    <row r="110" spans="1:10" ht="12.75">
      <c r="A110" s="3" t="s">
        <v>142</v>
      </c>
      <c r="B110" t="s">
        <v>140</v>
      </c>
      <c r="C110" t="s">
        <v>409</v>
      </c>
      <c r="D110" s="86"/>
      <c r="E110" s="86"/>
      <c r="F110" s="86"/>
      <c r="G110" s="86"/>
      <c r="H110" s="86"/>
      <c r="I110" s="86"/>
      <c r="J110" s="14">
        <f t="shared" si="1"/>
        <v>0</v>
      </c>
    </row>
    <row r="111" spans="1:10" ht="12.75">
      <c r="A111" s="3" t="s">
        <v>143</v>
      </c>
      <c r="B111" t="s">
        <v>144</v>
      </c>
      <c r="C111" t="s">
        <v>410</v>
      </c>
      <c r="D111" s="86"/>
      <c r="E111" s="86"/>
      <c r="F111" s="86"/>
      <c r="G111" s="86"/>
      <c r="H111" s="86"/>
      <c r="I111" s="86"/>
      <c r="J111" s="14">
        <f t="shared" si="1"/>
        <v>0</v>
      </c>
    </row>
    <row r="112" spans="1:10" ht="12.75">
      <c r="A112" s="3" t="s">
        <v>145</v>
      </c>
      <c r="B112" t="s">
        <v>144</v>
      </c>
      <c r="C112" t="s">
        <v>411</v>
      </c>
      <c r="D112" s="86"/>
      <c r="E112" s="86"/>
      <c r="F112" s="86"/>
      <c r="G112" s="86">
        <f>100.65+3638.27+516.62</f>
        <v>4255.54</v>
      </c>
      <c r="H112" s="86"/>
      <c r="I112" s="86"/>
      <c r="J112" s="14">
        <f t="shared" si="1"/>
        <v>4255.54</v>
      </c>
    </row>
    <row r="113" spans="1:10" ht="12.75">
      <c r="A113" s="3" t="s">
        <v>146</v>
      </c>
      <c r="B113" t="s">
        <v>144</v>
      </c>
      <c r="C113" t="s">
        <v>412</v>
      </c>
      <c r="D113" s="86"/>
      <c r="E113" s="86"/>
      <c r="F113" s="86"/>
      <c r="G113" s="86">
        <f>-1068.21-67.03+39.17</f>
        <v>-1096.07</v>
      </c>
      <c r="H113" s="86"/>
      <c r="I113" s="86"/>
      <c r="J113" s="14">
        <f t="shared" si="1"/>
        <v>-1096.07</v>
      </c>
    </row>
    <row r="114" spans="1:10" ht="12.75">
      <c r="A114" s="3" t="s">
        <v>147</v>
      </c>
      <c r="B114" t="s">
        <v>144</v>
      </c>
      <c r="C114" t="s">
        <v>413</v>
      </c>
      <c r="D114" s="86"/>
      <c r="E114" s="86"/>
      <c r="F114" s="86"/>
      <c r="G114" s="86">
        <v>313.38</v>
      </c>
      <c r="H114" s="86"/>
      <c r="I114" s="86"/>
      <c r="J114" s="14">
        <f t="shared" si="1"/>
        <v>313.38</v>
      </c>
    </row>
    <row r="115" spans="1:10" ht="12.75">
      <c r="A115" s="3" t="s">
        <v>148</v>
      </c>
      <c r="B115" t="s">
        <v>149</v>
      </c>
      <c r="C115" t="s">
        <v>414</v>
      </c>
      <c r="D115" s="86">
        <v>2876.67</v>
      </c>
      <c r="E115" s="86"/>
      <c r="F115" s="86"/>
      <c r="G115" s="86">
        <f>5833.66+7765.48</f>
        <v>13599.14</v>
      </c>
      <c r="H115" s="86"/>
      <c r="I115" s="86"/>
      <c r="J115" s="14">
        <f t="shared" si="1"/>
        <v>16475.809999999998</v>
      </c>
    </row>
    <row r="116" spans="1:10" ht="12.75">
      <c r="A116" s="3" t="s">
        <v>150</v>
      </c>
      <c r="B116" t="s">
        <v>149</v>
      </c>
      <c r="C116" t="s">
        <v>415</v>
      </c>
      <c r="D116" s="86"/>
      <c r="E116" s="86"/>
      <c r="F116" s="86"/>
      <c r="G116" s="86">
        <f>-1870.12-1677.22-4073.93</f>
        <v>-7621.27</v>
      </c>
      <c r="H116" s="86"/>
      <c r="I116" s="86"/>
      <c r="J116" s="14">
        <f t="shared" si="1"/>
        <v>-7621.27</v>
      </c>
    </row>
    <row r="117" spans="1:10" ht="12.75">
      <c r="A117" s="3" t="s">
        <v>151</v>
      </c>
      <c r="B117" t="s">
        <v>149</v>
      </c>
      <c r="C117" t="s">
        <v>416</v>
      </c>
      <c r="D117" s="86">
        <v>56385.8</v>
      </c>
      <c r="E117" s="86"/>
      <c r="F117" s="86"/>
      <c r="G117" s="86"/>
      <c r="H117" s="86"/>
      <c r="I117" s="86"/>
      <c r="J117" s="14">
        <f t="shared" si="1"/>
        <v>56385.8</v>
      </c>
    </row>
    <row r="118" spans="1:10" ht="12.75">
      <c r="A118" s="3" t="s">
        <v>152</v>
      </c>
      <c r="B118" t="s">
        <v>153</v>
      </c>
      <c r="C118" t="s">
        <v>417</v>
      </c>
      <c r="D118" s="86"/>
      <c r="E118" s="86"/>
      <c r="F118" s="86"/>
      <c r="G118" s="86">
        <v>20.67</v>
      </c>
      <c r="H118" s="86"/>
      <c r="I118" s="86"/>
      <c r="J118" s="14">
        <f t="shared" si="1"/>
        <v>20.67</v>
      </c>
    </row>
    <row r="119" spans="1:10" ht="12.75">
      <c r="A119" s="3" t="s">
        <v>154</v>
      </c>
      <c r="B119" t="s">
        <v>155</v>
      </c>
      <c r="C119" t="s">
        <v>418</v>
      </c>
      <c r="D119" s="86"/>
      <c r="E119" s="86"/>
      <c r="F119" s="86"/>
      <c r="G119" s="86"/>
      <c r="H119" s="86"/>
      <c r="I119" s="86"/>
      <c r="J119" s="14">
        <f t="shared" si="1"/>
        <v>0</v>
      </c>
    </row>
    <row r="120" spans="1:10" ht="12.75">
      <c r="A120" s="3" t="s">
        <v>156</v>
      </c>
      <c r="B120" t="s">
        <v>157</v>
      </c>
      <c r="C120" t="s">
        <v>419</v>
      </c>
      <c r="D120" s="86">
        <f>12559.61+20381.8+81916.59</f>
        <v>114858</v>
      </c>
      <c r="E120" s="86"/>
      <c r="F120" s="86"/>
      <c r="G120" s="86">
        <f>4514.03-908.41+212.07</f>
        <v>3817.69</v>
      </c>
      <c r="H120" s="86"/>
      <c r="I120" s="86"/>
      <c r="J120" s="14">
        <f t="shared" si="1"/>
        <v>118675.69</v>
      </c>
    </row>
    <row r="121" spans="1:10" ht="12.75">
      <c r="A121" s="3" t="s">
        <v>158</v>
      </c>
      <c r="B121" t="s">
        <v>157</v>
      </c>
      <c r="C121" t="s">
        <v>420</v>
      </c>
      <c r="D121" s="86"/>
      <c r="E121" s="86"/>
      <c r="F121" s="86"/>
      <c r="G121" s="86"/>
      <c r="H121" s="86"/>
      <c r="I121" s="86"/>
      <c r="J121" s="14">
        <f t="shared" si="1"/>
        <v>0</v>
      </c>
    </row>
    <row r="122" spans="1:10" ht="12.75">
      <c r="A122" s="3" t="s">
        <v>159</v>
      </c>
      <c r="B122" t="s">
        <v>157</v>
      </c>
      <c r="C122" t="s">
        <v>421</v>
      </c>
      <c r="D122" s="86"/>
      <c r="E122" s="86"/>
      <c r="F122" s="86"/>
      <c r="G122" s="86"/>
      <c r="H122" s="86"/>
      <c r="I122" s="86"/>
      <c r="J122" s="14">
        <f t="shared" si="1"/>
        <v>0</v>
      </c>
    </row>
    <row r="123" spans="1:10" ht="12.75">
      <c r="A123" s="3" t="s">
        <v>160</v>
      </c>
      <c r="B123" t="s">
        <v>161</v>
      </c>
      <c r="C123" t="s">
        <v>422</v>
      </c>
      <c r="D123" s="86"/>
      <c r="E123" s="86"/>
      <c r="F123" s="86"/>
      <c r="G123" s="86"/>
      <c r="H123" s="86"/>
      <c r="I123" s="86"/>
      <c r="J123" s="14">
        <f t="shared" si="1"/>
        <v>0</v>
      </c>
    </row>
    <row r="124" spans="1:10" ht="12.75">
      <c r="A124" s="3" t="s">
        <v>162</v>
      </c>
      <c r="B124" t="s">
        <v>161</v>
      </c>
      <c r="C124" t="s">
        <v>423</v>
      </c>
      <c r="D124" s="86"/>
      <c r="E124" s="86"/>
      <c r="F124" s="86"/>
      <c r="G124" s="86"/>
      <c r="H124" s="86"/>
      <c r="I124" s="86"/>
      <c r="J124" s="14">
        <f t="shared" si="1"/>
        <v>0</v>
      </c>
    </row>
    <row r="125" spans="1:10" ht="12.75">
      <c r="A125" s="3" t="s">
        <v>163</v>
      </c>
      <c r="B125" t="s">
        <v>164</v>
      </c>
      <c r="C125" t="s">
        <v>424</v>
      </c>
      <c r="D125" s="86">
        <f>4121.82-4378.6</f>
        <v>-256.78000000000065</v>
      </c>
      <c r="E125" s="86"/>
      <c r="F125" s="86"/>
      <c r="G125" s="86">
        <f>-542.52+1920.88</f>
        <v>1378.3600000000001</v>
      </c>
      <c r="H125" s="86"/>
      <c r="I125" s="86"/>
      <c r="J125" s="14">
        <f t="shared" si="1"/>
        <v>1121.5799999999995</v>
      </c>
    </row>
    <row r="126" spans="1:10" ht="12.75">
      <c r="A126" s="3" t="s">
        <v>165</v>
      </c>
      <c r="B126" t="s">
        <v>164</v>
      </c>
      <c r="C126" t="s">
        <v>425</v>
      </c>
      <c r="D126" s="86">
        <f>54761.01+26433.47</f>
        <v>81194.48000000001</v>
      </c>
      <c r="E126" s="86"/>
      <c r="F126" s="86"/>
      <c r="G126" s="86">
        <f>-3613.86+1191.89</f>
        <v>-2421.9700000000003</v>
      </c>
      <c r="H126" s="86"/>
      <c r="I126" s="86"/>
      <c r="J126" s="14">
        <f t="shared" si="1"/>
        <v>78772.51000000001</v>
      </c>
    </row>
    <row r="127" spans="1:10" ht="12.75">
      <c r="A127" s="3" t="s">
        <v>166</v>
      </c>
      <c r="B127" t="s">
        <v>164</v>
      </c>
      <c r="C127" t="s">
        <v>426</v>
      </c>
      <c r="D127" s="86"/>
      <c r="E127" s="86"/>
      <c r="F127" s="86"/>
      <c r="G127" s="86"/>
      <c r="H127" s="86"/>
      <c r="I127" s="86"/>
      <c r="J127" s="14">
        <f t="shared" si="1"/>
        <v>0</v>
      </c>
    </row>
    <row r="128" spans="1:10" ht="12.75">
      <c r="A128" s="3" t="s">
        <v>167</v>
      </c>
      <c r="B128" t="s">
        <v>164</v>
      </c>
      <c r="C128" t="s">
        <v>427</v>
      </c>
      <c r="D128" s="86"/>
      <c r="E128" s="86"/>
      <c r="F128" s="86"/>
      <c r="G128" s="86"/>
      <c r="H128" s="86"/>
      <c r="I128" s="86"/>
      <c r="J128" s="14">
        <f t="shared" si="1"/>
        <v>0</v>
      </c>
    </row>
    <row r="129" spans="1:10" ht="12.75">
      <c r="A129" s="3" t="s">
        <v>168</v>
      </c>
      <c r="B129" t="s">
        <v>169</v>
      </c>
      <c r="C129" t="s">
        <v>428</v>
      </c>
      <c r="D129" s="86">
        <f>4251.6+3075.63</f>
        <v>7327.2300000000005</v>
      </c>
      <c r="E129" s="86"/>
      <c r="F129" s="86"/>
      <c r="G129" s="86">
        <f>718.34-115.22+808.07</f>
        <v>1411.19</v>
      </c>
      <c r="H129" s="86"/>
      <c r="I129" s="86"/>
      <c r="J129" s="14">
        <f t="shared" si="1"/>
        <v>8738.42</v>
      </c>
    </row>
    <row r="130" spans="1:10" ht="12.75">
      <c r="A130" s="3" t="s">
        <v>170</v>
      </c>
      <c r="B130" t="s">
        <v>169</v>
      </c>
      <c r="C130" t="s">
        <v>429</v>
      </c>
      <c r="D130" s="86">
        <f>6352.25+35699.38</f>
        <v>42051.63</v>
      </c>
      <c r="E130" s="86"/>
      <c r="F130" s="86"/>
      <c r="G130" s="86">
        <f>588.64+453.48</f>
        <v>1042.12</v>
      </c>
      <c r="H130" s="86"/>
      <c r="I130" s="86"/>
      <c r="J130" s="14">
        <f t="shared" si="1"/>
        <v>43093.75</v>
      </c>
    </row>
    <row r="131" spans="1:10" ht="12.75">
      <c r="A131" s="3" t="s">
        <v>171</v>
      </c>
      <c r="B131" t="s">
        <v>169</v>
      </c>
      <c r="C131" t="s">
        <v>430</v>
      </c>
      <c r="D131" s="86">
        <v>7722.98</v>
      </c>
      <c r="E131" s="86"/>
      <c r="F131" s="86"/>
      <c r="G131" s="86">
        <v>-9.77</v>
      </c>
      <c r="H131" s="86"/>
      <c r="I131" s="86"/>
      <c r="J131" s="14">
        <f t="shared" si="1"/>
        <v>7713.209999999999</v>
      </c>
    </row>
    <row r="132" spans="1:10" ht="12.75">
      <c r="A132" s="3" t="s">
        <v>172</v>
      </c>
      <c r="B132" t="s">
        <v>169</v>
      </c>
      <c r="C132" t="s">
        <v>431</v>
      </c>
      <c r="D132" s="86"/>
      <c r="E132" s="86"/>
      <c r="F132" s="86"/>
      <c r="G132" s="86"/>
      <c r="H132" s="86"/>
      <c r="I132" s="86"/>
      <c r="J132" s="14">
        <f t="shared" si="1"/>
        <v>0</v>
      </c>
    </row>
    <row r="133" spans="1:10" ht="12.75">
      <c r="A133" s="3" t="s">
        <v>173</v>
      </c>
      <c r="B133" t="s">
        <v>169</v>
      </c>
      <c r="C133" t="s">
        <v>432</v>
      </c>
      <c r="D133" s="86"/>
      <c r="E133" s="86"/>
      <c r="F133" s="86"/>
      <c r="G133" s="86"/>
      <c r="H133" s="86"/>
      <c r="I133" s="86"/>
      <c r="J133" s="14">
        <f t="shared" si="1"/>
        <v>0</v>
      </c>
    </row>
    <row r="134" spans="1:10" ht="12.75">
      <c r="A134" s="3" t="s">
        <v>174</v>
      </c>
      <c r="B134" t="s">
        <v>169</v>
      </c>
      <c r="C134" t="s">
        <v>433</v>
      </c>
      <c r="D134" s="86">
        <v>1082.95</v>
      </c>
      <c r="E134" s="86"/>
      <c r="F134" s="86"/>
      <c r="G134" s="86">
        <f>-61.39-220.38</f>
        <v>-281.77</v>
      </c>
      <c r="H134" s="86"/>
      <c r="I134" s="86"/>
      <c r="J134" s="14">
        <f t="shared" si="1"/>
        <v>801.1800000000001</v>
      </c>
    </row>
    <row r="135" spans="1:10" ht="12.75">
      <c r="A135" s="3" t="s">
        <v>175</v>
      </c>
      <c r="B135" t="s">
        <v>176</v>
      </c>
      <c r="C135" t="s">
        <v>434</v>
      </c>
      <c r="D135" s="86"/>
      <c r="E135" s="86"/>
      <c r="F135" s="86"/>
      <c r="G135" s="86">
        <f>-41.72-0.06</f>
        <v>-41.78</v>
      </c>
      <c r="H135" s="86"/>
      <c r="I135" s="86"/>
      <c r="J135" s="14">
        <f t="shared" si="1"/>
        <v>-41.78</v>
      </c>
    </row>
    <row r="136" spans="1:10" ht="12.75">
      <c r="A136" s="3" t="s">
        <v>177</v>
      </c>
      <c r="B136" t="s">
        <v>176</v>
      </c>
      <c r="C136" t="s">
        <v>435</v>
      </c>
      <c r="D136" s="86"/>
      <c r="E136" s="86"/>
      <c r="F136" s="86"/>
      <c r="G136" s="86"/>
      <c r="H136" s="86"/>
      <c r="I136" s="86"/>
      <c r="J136" s="14">
        <f t="shared" si="1"/>
        <v>0</v>
      </c>
    </row>
    <row r="137" spans="1:10" ht="12.75">
      <c r="A137" s="3" t="s">
        <v>178</v>
      </c>
      <c r="B137" t="s">
        <v>179</v>
      </c>
      <c r="C137" t="s">
        <v>436</v>
      </c>
      <c r="D137" s="86">
        <v>4597.93</v>
      </c>
      <c r="E137" s="86"/>
      <c r="F137" s="86"/>
      <c r="G137" s="86">
        <f>4429.21-207.75+2807.2+9350.64</f>
        <v>16379.3</v>
      </c>
      <c r="H137" s="86"/>
      <c r="I137" s="86"/>
      <c r="J137" s="14">
        <f t="shared" si="1"/>
        <v>20977.23</v>
      </c>
    </row>
    <row r="138" spans="1:10" ht="12.75">
      <c r="A138" s="3" t="s">
        <v>180</v>
      </c>
      <c r="B138" t="s">
        <v>179</v>
      </c>
      <c r="C138" t="s">
        <v>437</v>
      </c>
      <c r="D138" s="86">
        <f>16325.82+581.72</f>
        <v>16907.54</v>
      </c>
      <c r="E138" s="86"/>
      <c r="F138" s="86"/>
      <c r="G138" s="86">
        <f>-51.6-1740.15-1409.1</f>
        <v>-3200.85</v>
      </c>
      <c r="H138" s="86"/>
      <c r="I138" s="86"/>
      <c r="J138" s="14">
        <f t="shared" si="1"/>
        <v>13706.69</v>
      </c>
    </row>
    <row r="139" spans="1:10" ht="12.75">
      <c r="A139" s="3" t="s">
        <v>181</v>
      </c>
      <c r="B139" t="s">
        <v>182</v>
      </c>
      <c r="C139" t="s">
        <v>438</v>
      </c>
      <c r="D139" s="86"/>
      <c r="E139" s="86"/>
      <c r="F139" s="86"/>
      <c r="G139" s="86"/>
      <c r="H139" s="86"/>
      <c r="I139" s="86"/>
      <c r="J139" s="14">
        <f aca="true" t="shared" si="2" ref="J139:J202">SUM(D139:I139)</f>
        <v>0</v>
      </c>
    </row>
    <row r="140" spans="1:10" ht="12.75">
      <c r="A140" s="3" t="s">
        <v>183</v>
      </c>
      <c r="B140" t="s">
        <v>182</v>
      </c>
      <c r="C140" t="s">
        <v>439</v>
      </c>
      <c r="D140" s="86"/>
      <c r="E140" s="86"/>
      <c r="F140" s="86"/>
      <c r="G140" s="86"/>
      <c r="H140" s="86"/>
      <c r="I140" s="86"/>
      <c r="J140" s="14">
        <f t="shared" si="2"/>
        <v>0</v>
      </c>
    </row>
    <row r="141" spans="1:10" ht="12.75">
      <c r="A141" s="3" t="s">
        <v>184</v>
      </c>
      <c r="B141" t="s">
        <v>185</v>
      </c>
      <c r="C141" t="s">
        <v>440</v>
      </c>
      <c r="D141" s="86"/>
      <c r="E141" s="86"/>
      <c r="F141" s="86"/>
      <c r="G141" s="86"/>
      <c r="H141" s="86"/>
      <c r="I141" s="86"/>
      <c r="J141" s="14">
        <f t="shared" si="2"/>
        <v>0</v>
      </c>
    </row>
    <row r="142" spans="1:10" ht="12.75">
      <c r="A142" s="3" t="s">
        <v>186</v>
      </c>
      <c r="B142" t="s">
        <v>187</v>
      </c>
      <c r="C142" t="s">
        <v>441</v>
      </c>
      <c r="D142" s="86">
        <v>1891.55</v>
      </c>
      <c r="E142" s="86"/>
      <c r="F142" s="86"/>
      <c r="G142" s="86">
        <v>-3312.24</v>
      </c>
      <c r="H142" s="86"/>
      <c r="I142" s="86"/>
      <c r="J142" s="14">
        <f t="shared" si="2"/>
        <v>-1420.6899999999998</v>
      </c>
    </row>
    <row r="143" spans="1:10" ht="12.75">
      <c r="A143" s="3" t="s">
        <v>188</v>
      </c>
      <c r="B143" t="s">
        <v>187</v>
      </c>
      <c r="C143" t="s">
        <v>442</v>
      </c>
      <c r="D143" s="86"/>
      <c r="E143" s="86"/>
      <c r="F143" s="86"/>
      <c r="G143" s="86"/>
      <c r="H143" s="86"/>
      <c r="I143" s="86"/>
      <c r="J143" s="14">
        <f t="shared" si="2"/>
        <v>0</v>
      </c>
    </row>
    <row r="144" spans="1:10" ht="12.75">
      <c r="A144" s="3" t="s">
        <v>189</v>
      </c>
      <c r="B144" t="s">
        <v>187</v>
      </c>
      <c r="C144" t="s">
        <v>443</v>
      </c>
      <c r="D144" s="86"/>
      <c r="E144" s="86"/>
      <c r="F144" s="86"/>
      <c r="G144" s="86"/>
      <c r="H144" s="86"/>
      <c r="I144" s="86"/>
      <c r="J144" s="14">
        <f t="shared" si="2"/>
        <v>0</v>
      </c>
    </row>
    <row r="145" spans="1:10" ht="12.75">
      <c r="A145" s="3" t="s">
        <v>190</v>
      </c>
      <c r="B145" t="s">
        <v>187</v>
      </c>
      <c r="C145" t="s">
        <v>444</v>
      </c>
      <c r="D145" s="86"/>
      <c r="E145" s="86"/>
      <c r="F145" s="86"/>
      <c r="G145" s="86">
        <f>43.86-2.2+470.7-266.36</f>
        <v>246</v>
      </c>
      <c r="H145" s="86"/>
      <c r="I145" s="86"/>
      <c r="J145" s="14">
        <f t="shared" si="2"/>
        <v>246</v>
      </c>
    </row>
    <row r="146" spans="1:10" ht="12.75">
      <c r="A146" s="3" t="s">
        <v>191</v>
      </c>
      <c r="B146" t="s">
        <v>192</v>
      </c>
      <c r="C146" t="s">
        <v>445</v>
      </c>
      <c r="D146" s="86">
        <v>15441.73</v>
      </c>
      <c r="E146" s="86"/>
      <c r="F146" s="86"/>
      <c r="G146" s="86">
        <f>-69123.56-56629.28-54641.19</f>
        <v>-180394.03</v>
      </c>
      <c r="H146" s="86"/>
      <c r="I146" s="86"/>
      <c r="J146" s="14">
        <f t="shared" si="2"/>
        <v>-164952.3</v>
      </c>
    </row>
    <row r="147" spans="1:10" ht="12.75">
      <c r="A147" s="3" t="s">
        <v>193</v>
      </c>
      <c r="B147" t="s">
        <v>192</v>
      </c>
      <c r="C147" t="s">
        <v>446</v>
      </c>
      <c r="D147" s="86"/>
      <c r="E147" s="86"/>
      <c r="F147" s="86"/>
      <c r="G147" s="86"/>
      <c r="H147" s="86"/>
      <c r="I147" s="86"/>
      <c r="J147" s="14">
        <f t="shared" si="2"/>
        <v>0</v>
      </c>
    </row>
    <row r="148" spans="1:10" ht="12.75">
      <c r="A148" s="3" t="s">
        <v>194</v>
      </c>
      <c r="B148" t="s">
        <v>195</v>
      </c>
      <c r="C148" t="s">
        <v>447</v>
      </c>
      <c r="D148" s="86">
        <v>11215.15</v>
      </c>
      <c r="E148" s="86"/>
      <c r="F148" s="86"/>
      <c r="G148" s="86">
        <f>858.05-109.3-6802.15</f>
        <v>-6053.4</v>
      </c>
      <c r="H148" s="86"/>
      <c r="I148" s="86"/>
      <c r="J148" s="14">
        <f t="shared" si="2"/>
        <v>5161.75</v>
      </c>
    </row>
    <row r="149" spans="1:10" ht="12.75">
      <c r="A149" s="3" t="s">
        <v>196</v>
      </c>
      <c r="B149" t="s">
        <v>195</v>
      </c>
      <c r="C149" t="s">
        <v>448</v>
      </c>
      <c r="D149" s="86">
        <f>3738.18+1267.17</f>
        <v>5005.35</v>
      </c>
      <c r="E149" s="86"/>
      <c r="F149" s="86"/>
      <c r="G149" s="86">
        <f>-388.49+65.87-10123.5-3089.63</f>
        <v>-13535.75</v>
      </c>
      <c r="H149" s="86"/>
      <c r="I149" s="86"/>
      <c r="J149" s="14">
        <f t="shared" si="2"/>
        <v>-8530.4</v>
      </c>
    </row>
    <row r="150" spans="1:10" ht="12.75">
      <c r="A150" s="3" t="s">
        <v>197</v>
      </c>
      <c r="B150" t="s">
        <v>198</v>
      </c>
      <c r="C150" t="s">
        <v>449</v>
      </c>
      <c r="D150" s="86">
        <f>2313.16+16575.46+16710.15</f>
        <v>35598.770000000004</v>
      </c>
      <c r="E150" s="86"/>
      <c r="F150" s="86"/>
      <c r="G150" s="86">
        <f>-174.46+2796.58+2206.68</f>
        <v>4828.799999999999</v>
      </c>
      <c r="H150" s="86"/>
      <c r="I150" s="86"/>
      <c r="J150" s="14">
        <f t="shared" si="2"/>
        <v>40427.57000000001</v>
      </c>
    </row>
    <row r="151" spans="1:10" ht="12.75">
      <c r="A151" s="3" t="s">
        <v>199</v>
      </c>
      <c r="B151" t="s">
        <v>198</v>
      </c>
      <c r="C151" t="s">
        <v>450</v>
      </c>
      <c r="D151" s="86">
        <f>657.03+3145.45+11135.79</f>
        <v>14938.27</v>
      </c>
      <c r="E151" s="86"/>
      <c r="F151" s="86"/>
      <c r="G151" s="86">
        <f>-709.38+1710.08+1151.42</f>
        <v>2152.12</v>
      </c>
      <c r="H151" s="86"/>
      <c r="I151" s="86"/>
      <c r="J151" s="14">
        <f t="shared" si="2"/>
        <v>17090.39</v>
      </c>
    </row>
    <row r="152" spans="1:10" ht="12.75">
      <c r="A152" s="3" t="s">
        <v>200</v>
      </c>
      <c r="B152" t="s">
        <v>198</v>
      </c>
      <c r="C152" t="s">
        <v>451</v>
      </c>
      <c r="D152" s="86"/>
      <c r="E152" s="86"/>
      <c r="F152" s="86"/>
      <c r="G152" s="86"/>
      <c r="H152" s="86"/>
      <c r="I152" s="86"/>
      <c r="J152" s="14">
        <f t="shared" si="2"/>
        <v>0</v>
      </c>
    </row>
    <row r="153" spans="1:10" ht="12.75">
      <c r="A153" s="3" t="s">
        <v>201</v>
      </c>
      <c r="B153" t="s">
        <v>202</v>
      </c>
      <c r="C153" t="s">
        <v>452</v>
      </c>
      <c r="D153" s="86">
        <v>1123.62</v>
      </c>
      <c r="E153" s="86"/>
      <c r="F153" s="86"/>
      <c r="G153" s="86">
        <f>1096.81-123.67-100.15</f>
        <v>872.99</v>
      </c>
      <c r="H153" s="86"/>
      <c r="I153" s="86"/>
      <c r="J153" s="14">
        <f t="shared" si="2"/>
        <v>1996.61</v>
      </c>
    </row>
    <row r="154" spans="1:10" ht="12.75">
      <c r="A154" s="3" t="s">
        <v>203</v>
      </c>
      <c r="B154" t="s">
        <v>202</v>
      </c>
      <c r="C154" t="s">
        <v>453</v>
      </c>
      <c r="D154" s="86"/>
      <c r="E154" s="86"/>
      <c r="F154" s="86"/>
      <c r="G154" s="86">
        <f>-1863.07+1842.63</f>
        <v>-20.439999999999827</v>
      </c>
      <c r="H154" s="86"/>
      <c r="I154" s="86"/>
      <c r="J154" s="14">
        <f t="shared" si="2"/>
        <v>-20.439999999999827</v>
      </c>
    </row>
    <row r="155" spans="1:10" ht="12.75">
      <c r="A155" s="3" t="s">
        <v>204</v>
      </c>
      <c r="B155" t="s">
        <v>202</v>
      </c>
      <c r="C155" t="s">
        <v>454</v>
      </c>
      <c r="D155" s="86"/>
      <c r="E155" s="86"/>
      <c r="F155" s="86"/>
      <c r="G155" s="86"/>
      <c r="H155" s="86"/>
      <c r="I155" s="86"/>
      <c r="J155" s="14">
        <f t="shared" si="2"/>
        <v>0</v>
      </c>
    </row>
    <row r="156" spans="1:10" ht="12.75">
      <c r="A156" s="3" t="s">
        <v>205</v>
      </c>
      <c r="B156" t="s">
        <v>206</v>
      </c>
      <c r="C156" t="s">
        <v>455</v>
      </c>
      <c r="D156" s="86"/>
      <c r="E156" s="86"/>
      <c r="F156" s="86"/>
      <c r="G156" s="86"/>
      <c r="H156" s="86"/>
      <c r="I156" s="86"/>
      <c r="J156" s="14">
        <f t="shared" si="2"/>
        <v>0</v>
      </c>
    </row>
    <row r="157" spans="1:10" ht="12.75">
      <c r="A157" s="3" t="s">
        <v>207</v>
      </c>
      <c r="B157" t="s">
        <v>206</v>
      </c>
      <c r="C157" t="s">
        <v>456</v>
      </c>
      <c r="D157" s="86"/>
      <c r="E157" s="86"/>
      <c r="F157" s="86"/>
      <c r="G157" s="86"/>
      <c r="H157" s="86"/>
      <c r="I157" s="86"/>
      <c r="J157" s="14">
        <f t="shared" si="2"/>
        <v>0</v>
      </c>
    </row>
    <row r="158" spans="1:10" ht="12.75">
      <c r="A158" s="3" t="s">
        <v>208</v>
      </c>
      <c r="B158" t="s">
        <v>206</v>
      </c>
      <c r="C158" t="s">
        <v>457</v>
      </c>
      <c r="D158" s="86"/>
      <c r="E158" s="86"/>
      <c r="F158" s="86"/>
      <c r="G158" s="86"/>
      <c r="H158" s="86"/>
      <c r="I158" s="86"/>
      <c r="J158" s="14">
        <f t="shared" si="2"/>
        <v>0</v>
      </c>
    </row>
    <row r="159" spans="1:10" ht="12.75">
      <c r="A159" s="3" t="s">
        <v>209</v>
      </c>
      <c r="B159" t="s">
        <v>210</v>
      </c>
      <c r="C159" t="s">
        <v>458</v>
      </c>
      <c r="D159" s="86">
        <f>18784.62+2774.33</f>
        <v>21558.949999999997</v>
      </c>
      <c r="E159" s="86"/>
      <c r="F159" s="86"/>
      <c r="G159" s="86"/>
      <c r="H159" s="86"/>
      <c r="I159" s="86"/>
      <c r="J159" s="14">
        <f t="shared" si="2"/>
        <v>21558.949999999997</v>
      </c>
    </row>
    <row r="160" spans="1:10" ht="12.75">
      <c r="A160" s="3" t="s">
        <v>211</v>
      </c>
      <c r="B160" t="s">
        <v>212</v>
      </c>
      <c r="C160" t="s">
        <v>459</v>
      </c>
      <c r="D160" s="86">
        <f>8370.12+49136.75</f>
        <v>57506.87</v>
      </c>
      <c r="E160" s="86"/>
      <c r="F160" s="86"/>
      <c r="G160" s="86">
        <f>1780.5-314.24-53.39</f>
        <v>1412.87</v>
      </c>
      <c r="H160" s="86"/>
      <c r="I160" s="86"/>
      <c r="J160" s="14">
        <f t="shared" si="2"/>
        <v>58919.740000000005</v>
      </c>
    </row>
    <row r="161" spans="1:10" ht="12.75">
      <c r="A161" s="3" t="s">
        <v>213</v>
      </c>
      <c r="B161" t="s">
        <v>212</v>
      </c>
      <c r="C161" t="s">
        <v>460</v>
      </c>
      <c r="D161" s="86"/>
      <c r="E161" s="86"/>
      <c r="F161" s="86"/>
      <c r="G161" s="86">
        <f>2142.6-343.68+329.15</f>
        <v>2128.0699999999997</v>
      </c>
      <c r="H161" s="86"/>
      <c r="I161" s="86"/>
      <c r="J161" s="14">
        <f t="shared" si="2"/>
        <v>2128.0699999999997</v>
      </c>
    </row>
    <row r="162" spans="1:10" ht="12.75">
      <c r="A162" s="3" t="s">
        <v>214</v>
      </c>
      <c r="B162" t="s">
        <v>215</v>
      </c>
      <c r="C162" t="s">
        <v>461</v>
      </c>
      <c r="D162" s="86">
        <v>5925.91</v>
      </c>
      <c r="E162" s="86"/>
      <c r="F162" s="86"/>
      <c r="G162" s="86">
        <v>-502.27</v>
      </c>
      <c r="H162" s="86"/>
      <c r="I162" s="86"/>
      <c r="J162" s="14">
        <f t="shared" si="2"/>
        <v>5423.639999999999</v>
      </c>
    </row>
    <row r="163" spans="1:10" ht="12.75">
      <c r="A163" s="3" t="s">
        <v>216</v>
      </c>
      <c r="B163" t="s">
        <v>215</v>
      </c>
      <c r="C163" t="s">
        <v>462</v>
      </c>
      <c r="D163" s="86">
        <v>2298.88</v>
      </c>
      <c r="E163" s="86"/>
      <c r="F163" s="86"/>
      <c r="G163" s="86">
        <f>595.55+153.84</f>
        <v>749.39</v>
      </c>
      <c r="H163" s="86"/>
      <c r="I163" s="86"/>
      <c r="J163" s="14">
        <f t="shared" si="2"/>
        <v>3048.27</v>
      </c>
    </row>
    <row r="164" spans="1:10" ht="12.75">
      <c r="A164" s="3" t="s">
        <v>217</v>
      </c>
      <c r="B164" t="s">
        <v>218</v>
      </c>
      <c r="C164" t="s">
        <v>463</v>
      </c>
      <c r="D164" s="86"/>
      <c r="E164" s="86"/>
      <c r="F164" s="86"/>
      <c r="G164" s="86"/>
      <c r="H164" s="86"/>
      <c r="I164" s="86"/>
      <c r="J164" s="14">
        <f t="shared" si="2"/>
        <v>0</v>
      </c>
    </row>
    <row r="165" spans="1:10" ht="12.75">
      <c r="A165" s="3" t="s">
        <v>219</v>
      </c>
      <c r="B165" t="s">
        <v>220</v>
      </c>
      <c r="C165" t="s">
        <v>464</v>
      </c>
      <c r="D165" s="86"/>
      <c r="E165" s="86"/>
      <c r="F165" s="86"/>
      <c r="G165" s="86"/>
      <c r="H165" s="86"/>
      <c r="I165" s="86"/>
      <c r="J165" s="14">
        <f t="shared" si="2"/>
        <v>0</v>
      </c>
    </row>
    <row r="166" spans="1:10" ht="12.75">
      <c r="A166" s="3" t="s">
        <v>221</v>
      </c>
      <c r="B166" t="s">
        <v>220</v>
      </c>
      <c r="C166" t="s">
        <v>465</v>
      </c>
      <c r="D166" s="86"/>
      <c r="E166" s="86"/>
      <c r="F166" s="86"/>
      <c r="G166" s="86"/>
      <c r="H166" s="86"/>
      <c r="I166" s="86"/>
      <c r="J166" s="14">
        <f t="shared" si="2"/>
        <v>0</v>
      </c>
    </row>
    <row r="167" spans="1:10" ht="12.75">
      <c r="A167" s="3" t="s">
        <v>222</v>
      </c>
      <c r="B167" t="s">
        <v>223</v>
      </c>
      <c r="C167" t="s">
        <v>466</v>
      </c>
      <c r="D167" s="86">
        <f>-4861.9-3541.87</f>
        <v>-8403.77</v>
      </c>
      <c r="E167" s="86"/>
      <c r="F167" s="86"/>
      <c r="G167" s="86">
        <f>-4161.05+5757.91</f>
        <v>1596.8599999999997</v>
      </c>
      <c r="H167" s="86"/>
      <c r="I167" s="86"/>
      <c r="J167" s="14">
        <f t="shared" si="2"/>
        <v>-6806.910000000001</v>
      </c>
    </row>
    <row r="168" spans="1:10" ht="12.75">
      <c r="A168" s="3" t="s">
        <v>224</v>
      </c>
      <c r="B168" t="s">
        <v>223</v>
      </c>
      <c r="C168" t="s">
        <v>467</v>
      </c>
      <c r="D168" s="86">
        <v>5210.13</v>
      </c>
      <c r="E168" s="86"/>
      <c r="F168" s="86"/>
      <c r="G168" s="86">
        <v>6029.39</v>
      </c>
      <c r="H168" s="86"/>
      <c r="I168" s="86"/>
      <c r="J168" s="14">
        <f t="shared" si="2"/>
        <v>11239.52</v>
      </c>
    </row>
    <row r="169" spans="1:10" ht="12.75">
      <c r="A169" s="3" t="s">
        <v>225</v>
      </c>
      <c r="B169" t="s">
        <v>223</v>
      </c>
      <c r="C169" t="s">
        <v>468</v>
      </c>
      <c r="D169" s="86"/>
      <c r="E169" s="86"/>
      <c r="F169" s="86"/>
      <c r="G169" s="86"/>
      <c r="H169" s="86"/>
      <c r="I169" s="86"/>
      <c r="J169" s="14">
        <f t="shared" si="2"/>
        <v>0</v>
      </c>
    </row>
    <row r="170" spans="1:10" ht="12.75">
      <c r="A170" s="3" t="s">
        <v>226</v>
      </c>
      <c r="B170" t="s">
        <v>223</v>
      </c>
      <c r="C170" t="s">
        <v>469</v>
      </c>
      <c r="D170" s="86">
        <v>6558.03</v>
      </c>
      <c r="E170" s="86"/>
      <c r="F170" s="86"/>
      <c r="G170" s="86">
        <v>742.76</v>
      </c>
      <c r="H170" s="86"/>
      <c r="I170" s="86"/>
      <c r="J170" s="14">
        <f t="shared" si="2"/>
        <v>7300.79</v>
      </c>
    </row>
    <row r="171" spans="1:10" ht="12.75">
      <c r="A171" s="3" t="s">
        <v>227</v>
      </c>
      <c r="B171" t="s">
        <v>223</v>
      </c>
      <c r="C171" t="s">
        <v>470</v>
      </c>
      <c r="D171" s="86">
        <f>8755.7+9224.79</f>
        <v>17980.49</v>
      </c>
      <c r="E171" s="86"/>
      <c r="F171" s="86"/>
      <c r="G171" s="86">
        <f>323.02-525.12-443.04</f>
        <v>-645.1400000000001</v>
      </c>
      <c r="H171" s="86"/>
      <c r="I171" s="86"/>
      <c r="J171" s="14">
        <f t="shared" si="2"/>
        <v>17335.350000000002</v>
      </c>
    </row>
    <row r="172" spans="1:10" ht="12.75">
      <c r="A172" s="3" t="s">
        <v>228</v>
      </c>
      <c r="B172" t="s">
        <v>229</v>
      </c>
      <c r="C172" t="s">
        <v>495</v>
      </c>
      <c r="D172" s="86"/>
      <c r="E172" s="86"/>
      <c r="F172" s="86"/>
      <c r="G172" s="86"/>
      <c r="H172" s="86"/>
      <c r="I172" s="86"/>
      <c r="J172" s="14">
        <f t="shared" si="2"/>
        <v>0</v>
      </c>
    </row>
    <row r="173" spans="1:10" ht="12.75">
      <c r="A173" s="3" t="s">
        <v>230</v>
      </c>
      <c r="B173" t="s">
        <v>229</v>
      </c>
      <c r="C173" t="s">
        <v>471</v>
      </c>
      <c r="D173" s="86"/>
      <c r="E173" s="86"/>
      <c r="F173" s="86"/>
      <c r="G173" s="86"/>
      <c r="H173" s="86"/>
      <c r="I173" s="86"/>
      <c r="J173" s="14">
        <f t="shared" si="2"/>
        <v>0</v>
      </c>
    </row>
    <row r="174" spans="1:10" ht="12.75">
      <c r="A174" s="3" t="s">
        <v>231</v>
      </c>
      <c r="B174" t="s">
        <v>229</v>
      </c>
      <c r="C174" t="s">
        <v>472</v>
      </c>
      <c r="D174" s="86"/>
      <c r="E174" s="86"/>
      <c r="F174" s="86"/>
      <c r="G174" s="86"/>
      <c r="H174" s="86"/>
      <c r="I174" s="86"/>
      <c r="J174" s="14">
        <f t="shared" si="2"/>
        <v>0</v>
      </c>
    </row>
    <row r="175" spans="1:10" ht="12.75">
      <c r="A175" s="3" t="s">
        <v>232</v>
      </c>
      <c r="B175" t="s">
        <v>229</v>
      </c>
      <c r="C175" t="s">
        <v>473</v>
      </c>
      <c r="D175" s="86"/>
      <c r="E175" s="86"/>
      <c r="F175" s="86"/>
      <c r="G175" s="86">
        <v>1668.64</v>
      </c>
      <c r="H175" s="86"/>
      <c r="I175" s="86"/>
      <c r="J175" s="14">
        <f t="shared" si="2"/>
        <v>1668.64</v>
      </c>
    </row>
    <row r="176" spans="1:10" ht="12.75">
      <c r="A176" s="3" t="s">
        <v>233</v>
      </c>
      <c r="B176" t="s">
        <v>229</v>
      </c>
      <c r="C176" t="s">
        <v>474</v>
      </c>
      <c r="D176" s="86">
        <v>-16210.92</v>
      </c>
      <c r="E176" s="86"/>
      <c r="F176" s="86"/>
      <c r="G176" s="86">
        <f>228.47+26.03-6360.12</f>
        <v>-6105.62</v>
      </c>
      <c r="H176" s="86"/>
      <c r="I176" s="86"/>
      <c r="J176" s="14">
        <f t="shared" si="2"/>
        <v>-22316.54</v>
      </c>
    </row>
    <row r="177" spans="1:10" ht="12.75">
      <c r="A177" s="3" t="s">
        <v>234</v>
      </c>
      <c r="B177" t="s">
        <v>229</v>
      </c>
      <c r="C177" t="s">
        <v>475</v>
      </c>
      <c r="D177" s="86"/>
      <c r="E177" s="86"/>
      <c r="F177" s="86"/>
      <c r="G177" s="86"/>
      <c r="H177" s="86"/>
      <c r="I177" s="86"/>
      <c r="J177" s="14">
        <f t="shared" si="2"/>
        <v>0</v>
      </c>
    </row>
    <row r="178" spans="1:10" ht="12.75">
      <c r="A178" s="3" t="s">
        <v>235</v>
      </c>
      <c r="B178" t="s">
        <v>229</v>
      </c>
      <c r="C178" t="s">
        <v>476</v>
      </c>
      <c r="D178" s="86"/>
      <c r="E178" s="86"/>
      <c r="F178" s="86"/>
      <c r="G178" s="86"/>
      <c r="H178" s="86"/>
      <c r="I178" s="86"/>
      <c r="J178" s="14">
        <f t="shared" si="2"/>
        <v>0</v>
      </c>
    </row>
    <row r="179" spans="1:10" ht="12.75">
      <c r="A179" s="3" t="s">
        <v>236</v>
      </c>
      <c r="B179" t="s">
        <v>229</v>
      </c>
      <c r="C179" t="s">
        <v>477</v>
      </c>
      <c r="D179" s="86"/>
      <c r="E179" s="86"/>
      <c r="F179" s="86"/>
      <c r="G179" s="86"/>
      <c r="H179" s="86"/>
      <c r="I179" s="86"/>
      <c r="J179" s="14">
        <f t="shared" si="2"/>
        <v>0</v>
      </c>
    </row>
    <row r="180" spans="1:10" ht="12.75">
      <c r="A180" s="3" t="s">
        <v>237</v>
      </c>
      <c r="B180" t="s">
        <v>229</v>
      </c>
      <c r="C180" t="s">
        <v>478</v>
      </c>
      <c r="D180" s="86">
        <v>5584.15</v>
      </c>
      <c r="E180" s="86"/>
      <c r="F180" s="86"/>
      <c r="G180" s="86">
        <f>-410.47-1751.68</f>
        <v>-2162.15</v>
      </c>
      <c r="H180" s="86"/>
      <c r="I180" s="86"/>
      <c r="J180" s="14">
        <f t="shared" si="2"/>
        <v>3421.9999999999995</v>
      </c>
    </row>
    <row r="181" spans="1:10" ht="12.75">
      <c r="A181" s="3" t="s">
        <v>238</v>
      </c>
      <c r="B181" t="s">
        <v>229</v>
      </c>
      <c r="C181" t="s">
        <v>479</v>
      </c>
      <c r="D181" s="86">
        <v>2753.06</v>
      </c>
      <c r="E181" s="86"/>
      <c r="F181" s="86"/>
      <c r="G181" s="86">
        <v>-1189.11</v>
      </c>
      <c r="H181" s="86"/>
      <c r="I181" s="86"/>
      <c r="J181" s="14">
        <f t="shared" si="2"/>
        <v>1563.95</v>
      </c>
    </row>
    <row r="182" spans="1:10" ht="12.75">
      <c r="A182" s="3" t="s">
        <v>239</v>
      </c>
      <c r="B182" t="s">
        <v>229</v>
      </c>
      <c r="C182" t="s">
        <v>480</v>
      </c>
      <c r="D182" s="86"/>
      <c r="E182" s="86"/>
      <c r="F182" s="86"/>
      <c r="G182" s="86"/>
      <c r="H182" s="86"/>
      <c r="I182" s="86"/>
      <c r="J182" s="14">
        <f t="shared" si="2"/>
        <v>0</v>
      </c>
    </row>
    <row r="183" spans="1:10" ht="12.75">
      <c r="A183" s="3" t="s">
        <v>240</v>
      </c>
      <c r="B183" t="s">
        <v>229</v>
      </c>
      <c r="C183" t="s">
        <v>481</v>
      </c>
      <c r="D183" s="86"/>
      <c r="E183" s="86"/>
      <c r="F183" s="86"/>
      <c r="G183" s="86">
        <v>7594.99</v>
      </c>
      <c r="H183" s="86"/>
      <c r="I183" s="86"/>
      <c r="J183" s="14">
        <f t="shared" si="2"/>
        <v>7594.99</v>
      </c>
    </row>
    <row r="184" spans="1:10" ht="12.75">
      <c r="A184" s="3">
        <v>3200</v>
      </c>
      <c r="B184" t="s">
        <v>241</v>
      </c>
      <c r="C184" t="s">
        <v>242</v>
      </c>
      <c r="D184" s="86"/>
      <c r="E184" s="86"/>
      <c r="F184" s="86"/>
      <c r="G184" s="86">
        <f>-1096.71+395.25+320.06</f>
        <v>-381.40000000000003</v>
      </c>
      <c r="H184" s="86"/>
      <c r="I184" s="86"/>
      <c r="J184" s="14">
        <f t="shared" si="2"/>
        <v>-381.40000000000003</v>
      </c>
    </row>
    <row r="185" spans="1:10" ht="12.75">
      <c r="A185" s="3">
        <v>3210</v>
      </c>
      <c r="B185" t="s">
        <v>241</v>
      </c>
      <c r="C185" t="s">
        <v>243</v>
      </c>
      <c r="D185" s="86"/>
      <c r="E185" s="86"/>
      <c r="F185" s="86"/>
      <c r="G185" s="86"/>
      <c r="H185" s="86"/>
      <c r="I185" s="86"/>
      <c r="J185" s="14">
        <f t="shared" si="2"/>
        <v>0</v>
      </c>
    </row>
    <row r="186" spans="1:10" ht="12.75">
      <c r="A186" s="3">
        <v>3220</v>
      </c>
      <c r="B186" t="s">
        <v>241</v>
      </c>
      <c r="C186" t="s">
        <v>244</v>
      </c>
      <c r="D186" s="86"/>
      <c r="E186" s="86"/>
      <c r="F186" s="86"/>
      <c r="G186" s="86"/>
      <c r="H186" s="86"/>
      <c r="I186" s="86"/>
      <c r="J186" s="14">
        <f t="shared" si="2"/>
        <v>0</v>
      </c>
    </row>
    <row r="187" spans="1:10" ht="12.75">
      <c r="A187" s="3">
        <v>3230</v>
      </c>
      <c r="B187" t="s">
        <v>241</v>
      </c>
      <c r="C187" t="s">
        <v>245</v>
      </c>
      <c r="D187" s="86"/>
      <c r="E187" s="86"/>
      <c r="F187" s="86"/>
      <c r="G187" s="86">
        <v>915.2</v>
      </c>
      <c r="H187" s="86"/>
      <c r="I187" s="86"/>
      <c r="J187" s="14">
        <f t="shared" si="2"/>
        <v>915.2</v>
      </c>
    </row>
    <row r="188" spans="1:11" ht="12.75">
      <c r="A188" s="3">
        <v>8001</v>
      </c>
      <c r="B188" s="32" t="s">
        <v>303</v>
      </c>
      <c r="C188" s="58" t="s">
        <v>304</v>
      </c>
      <c r="D188" s="86"/>
      <c r="E188" s="86"/>
      <c r="F188" s="86"/>
      <c r="G188" s="86"/>
      <c r="H188" s="86"/>
      <c r="I188" s="86"/>
      <c r="J188" s="14">
        <f t="shared" si="2"/>
        <v>0</v>
      </c>
      <c r="K188" s="63"/>
    </row>
    <row r="189" spans="1:10" ht="12.75">
      <c r="A189" s="108">
        <v>8041</v>
      </c>
      <c r="B189" s="108">
        <v>8041</v>
      </c>
      <c r="C189" s="109" t="s">
        <v>523</v>
      </c>
      <c r="D189" s="86"/>
      <c r="E189" s="86"/>
      <c r="F189" s="86"/>
      <c r="G189" s="86"/>
      <c r="H189" s="86"/>
      <c r="I189" s="86"/>
      <c r="J189" s="14">
        <f t="shared" si="2"/>
        <v>0</v>
      </c>
    </row>
    <row r="190" spans="1:10" ht="12.75">
      <c r="A190" s="108">
        <v>8042</v>
      </c>
      <c r="B190" s="108">
        <v>8042</v>
      </c>
      <c r="C190" s="109" t="s">
        <v>524</v>
      </c>
      <c r="D190" s="86"/>
      <c r="E190" s="86"/>
      <c r="F190" s="86"/>
      <c r="G190" s="86"/>
      <c r="H190" s="86"/>
      <c r="I190" s="86"/>
      <c r="J190" s="14">
        <f t="shared" si="2"/>
        <v>0</v>
      </c>
    </row>
    <row r="191" spans="1:10" ht="12.75">
      <c r="A191" s="108">
        <v>9025</v>
      </c>
      <c r="B191" s="108">
        <v>9025</v>
      </c>
      <c r="C191" s="109" t="s">
        <v>247</v>
      </c>
      <c r="D191" s="86"/>
      <c r="E191" s="86"/>
      <c r="F191" s="86"/>
      <c r="G191" s="86"/>
      <c r="H191" s="86"/>
      <c r="I191" s="86"/>
      <c r="J191" s="14">
        <f t="shared" si="2"/>
        <v>0</v>
      </c>
    </row>
    <row r="192" spans="1:10" ht="12.75">
      <c r="A192" s="3">
        <v>9030</v>
      </c>
      <c r="B192" s="3">
        <v>9030</v>
      </c>
      <c r="C192" t="s">
        <v>248</v>
      </c>
      <c r="D192" s="86"/>
      <c r="E192" s="86"/>
      <c r="F192" s="86"/>
      <c r="G192" s="86"/>
      <c r="H192" s="86"/>
      <c r="I192" s="86"/>
      <c r="J192" s="14">
        <f t="shared" si="2"/>
        <v>0</v>
      </c>
    </row>
    <row r="193" spans="1:10" ht="12.75">
      <c r="A193" s="3">
        <v>9035</v>
      </c>
      <c r="B193" s="3">
        <v>9035</v>
      </c>
      <c r="C193" t="s">
        <v>249</v>
      </c>
      <c r="D193" s="86"/>
      <c r="E193" s="86"/>
      <c r="F193" s="86"/>
      <c r="G193" s="86"/>
      <c r="H193" s="86"/>
      <c r="I193" s="86"/>
      <c r="J193" s="14">
        <f t="shared" si="2"/>
        <v>0</v>
      </c>
    </row>
    <row r="194" spans="1:10" ht="12.75">
      <c r="A194" s="3">
        <v>9040</v>
      </c>
      <c r="B194" s="3">
        <v>9040</v>
      </c>
      <c r="C194" t="s">
        <v>250</v>
      </c>
      <c r="D194" s="86"/>
      <c r="E194" s="86"/>
      <c r="F194" s="86"/>
      <c r="G194" s="86"/>
      <c r="H194" s="86"/>
      <c r="I194" s="86"/>
      <c r="J194" s="14">
        <f t="shared" si="2"/>
        <v>0</v>
      </c>
    </row>
    <row r="195" spans="1:10" ht="12.75">
      <c r="A195" s="3">
        <v>9045</v>
      </c>
      <c r="B195" s="3">
        <v>9045</v>
      </c>
      <c r="C195" t="s">
        <v>251</v>
      </c>
      <c r="D195" s="86"/>
      <c r="E195" s="86"/>
      <c r="F195" s="86"/>
      <c r="G195" s="86"/>
      <c r="H195" s="86"/>
      <c r="I195" s="86"/>
      <c r="J195" s="14">
        <f t="shared" si="2"/>
        <v>0</v>
      </c>
    </row>
    <row r="196" spans="1:10" ht="12.75">
      <c r="A196" s="3">
        <v>9050</v>
      </c>
      <c r="B196" s="3">
        <v>9050</v>
      </c>
      <c r="C196" t="s">
        <v>252</v>
      </c>
      <c r="D196" s="86"/>
      <c r="E196" s="86"/>
      <c r="F196" s="86"/>
      <c r="G196" s="86"/>
      <c r="H196" s="86"/>
      <c r="I196" s="86"/>
      <c r="J196" s="14">
        <f t="shared" si="2"/>
        <v>0</v>
      </c>
    </row>
    <row r="197" spans="1:10" ht="12.75">
      <c r="A197" s="3">
        <v>9055</v>
      </c>
      <c r="B197" s="3">
        <v>9055</v>
      </c>
      <c r="C197" t="s">
        <v>253</v>
      </c>
      <c r="D197" s="86"/>
      <c r="E197" s="86"/>
      <c r="F197" s="86"/>
      <c r="G197" s="86"/>
      <c r="H197" s="86"/>
      <c r="I197" s="86"/>
      <c r="J197" s="14">
        <f t="shared" si="2"/>
        <v>0</v>
      </c>
    </row>
    <row r="198" spans="1:10" ht="12.75">
      <c r="A198" s="3">
        <v>9060</v>
      </c>
      <c r="B198" s="3">
        <v>9060</v>
      </c>
      <c r="C198" t="s">
        <v>254</v>
      </c>
      <c r="D198" s="86"/>
      <c r="E198" s="86"/>
      <c r="F198" s="86"/>
      <c r="G198" s="86"/>
      <c r="H198" s="86"/>
      <c r="I198" s="86"/>
      <c r="J198" s="14">
        <f t="shared" si="2"/>
        <v>0</v>
      </c>
    </row>
    <row r="199" spans="1:10" ht="12.75">
      <c r="A199" s="3">
        <v>9075</v>
      </c>
      <c r="B199" s="3">
        <v>9075</v>
      </c>
      <c r="C199" t="s">
        <v>255</v>
      </c>
      <c r="D199" s="86"/>
      <c r="E199" s="86"/>
      <c r="F199" s="86"/>
      <c r="G199" s="86"/>
      <c r="H199" s="86"/>
      <c r="I199" s="86"/>
      <c r="J199" s="14">
        <f t="shared" si="2"/>
        <v>0</v>
      </c>
    </row>
    <row r="200" spans="1:10" ht="12.75">
      <c r="A200" s="3">
        <v>9095</v>
      </c>
      <c r="B200" s="3">
        <v>9095</v>
      </c>
      <c r="C200" t="s">
        <v>256</v>
      </c>
      <c r="D200" s="86"/>
      <c r="E200" s="86"/>
      <c r="F200" s="86"/>
      <c r="G200" s="86"/>
      <c r="H200" s="86"/>
      <c r="I200" s="86"/>
      <c r="J200" s="14">
        <f t="shared" si="2"/>
        <v>0</v>
      </c>
    </row>
    <row r="201" spans="1:10" ht="12.75">
      <c r="A201" s="3">
        <v>9120</v>
      </c>
      <c r="B201" s="3">
        <v>9120</v>
      </c>
      <c r="C201" t="s">
        <v>257</v>
      </c>
      <c r="D201" s="86"/>
      <c r="E201" s="86"/>
      <c r="F201" s="86"/>
      <c r="G201" s="86"/>
      <c r="H201" s="86"/>
      <c r="I201" s="86"/>
      <c r="J201" s="14">
        <f t="shared" si="2"/>
        <v>0</v>
      </c>
    </row>
    <row r="202" spans="1:10" ht="12.75">
      <c r="A202" s="3">
        <v>9125</v>
      </c>
      <c r="B202" s="3">
        <v>9125</v>
      </c>
      <c r="C202" t="s">
        <v>258</v>
      </c>
      <c r="D202" s="86"/>
      <c r="E202" s="86"/>
      <c r="F202" s="86"/>
      <c r="G202" s="86"/>
      <c r="H202" s="86"/>
      <c r="I202" s="86"/>
      <c r="J202" s="14">
        <f t="shared" si="2"/>
        <v>0</v>
      </c>
    </row>
    <row r="203" spans="1:10" ht="12.75">
      <c r="A203" s="3">
        <v>9130</v>
      </c>
      <c r="B203" s="3">
        <v>9130</v>
      </c>
      <c r="C203" t="s">
        <v>482</v>
      </c>
      <c r="D203" s="86"/>
      <c r="E203" s="86"/>
      <c r="F203" s="86"/>
      <c r="G203" s="86"/>
      <c r="H203" s="86"/>
      <c r="I203" s="86"/>
      <c r="J203" s="14">
        <f aca="true" t="shared" si="3" ref="J203:J211">SUM(D203:I203)</f>
        <v>0</v>
      </c>
    </row>
    <row r="204" spans="1:10" ht="12.75">
      <c r="A204" s="3">
        <v>9135</v>
      </c>
      <c r="B204" s="3">
        <v>9135</v>
      </c>
      <c r="C204" t="s">
        <v>483</v>
      </c>
      <c r="D204" s="86"/>
      <c r="E204" s="86"/>
      <c r="F204" s="86"/>
      <c r="G204" s="86"/>
      <c r="H204" s="86"/>
      <c r="I204" s="86"/>
      <c r="J204" s="14">
        <f t="shared" si="3"/>
        <v>0</v>
      </c>
    </row>
    <row r="205" spans="1:10" ht="12.75">
      <c r="A205" s="3">
        <v>9140</v>
      </c>
      <c r="B205" s="3">
        <v>9140</v>
      </c>
      <c r="C205" t="s">
        <v>259</v>
      </c>
      <c r="D205" s="86"/>
      <c r="E205" s="86"/>
      <c r="F205" s="86"/>
      <c r="G205" s="86"/>
      <c r="H205" s="86"/>
      <c r="I205" s="86"/>
      <c r="J205" s="14">
        <f t="shared" si="3"/>
        <v>0</v>
      </c>
    </row>
    <row r="206" spans="1:10" ht="12.75">
      <c r="A206" s="3">
        <v>9145</v>
      </c>
      <c r="B206" s="3">
        <v>9145</v>
      </c>
      <c r="C206" t="s">
        <v>260</v>
      </c>
      <c r="D206" s="86"/>
      <c r="E206" s="86"/>
      <c r="F206" s="86"/>
      <c r="G206" s="86"/>
      <c r="H206" s="86"/>
      <c r="I206" s="86"/>
      <c r="J206" s="14">
        <f t="shared" si="3"/>
        <v>0</v>
      </c>
    </row>
    <row r="207" spans="1:10" ht="12.75">
      <c r="A207" s="3">
        <v>9150</v>
      </c>
      <c r="B207" s="3">
        <v>9150</v>
      </c>
      <c r="C207" t="s">
        <v>261</v>
      </c>
      <c r="D207" s="86"/>
      <c r="E207" s="86"/>
      <c r="F207" s="86"/>
      <c r="G207" s="86"/>
      <c r="H207" s="86"/>
      <c r="I207" s="86"/>
      <c r="J207" s="14">
        <f t="shared" si="3"/>
        <v>0</v>
      </c>
    </row>
    <row r="208" spans="1:10" ht="12.75">
      <c r="A208" s="3">
        <v>9160</v>
      </c>
      <c r="B208" s="3">
        <v>9160</v>
      </c>
      <c r="C208" t="s">
        <v>262</v>
      </c>
      <c r="D208" s="86"/>
      <c r="E208" s="86"/>
      <c r="F208" s="86"/>
      <c r="G208" s="86"/>
      <c r="H208" s="86"/>
      <c r="I208" s="86"/>
      <c r="J208" s="14">
        <f t="shared" si="3"/>
        <v>0</v>
      </c>
    </row>
    <row r="209" spans="1:10" ht="12.75">
      <c r="A209" s="3">
        <v>9165</v>
      </c>
      <c r="B209" s="3">
        <v>9165</v>
      </c>
      <c r="C209" t="s">
        <v>484</v>
      </c>
      <c r="D209" s="86"/>
      <c r="E209" s="86"/>
      <c r="F209" s="86"/>
      <c r="G209" s="86"/>
      <c r="H209" s="86"/>
      <c r="I209" s="86"/>
      <c r="J209" s="14">
        <f t="shared" si="3"/>
        <v>0</v>
      </c>
    </row>
    <row r="210" spans="1:10" ht="12.75">
      <c r="A210" s="3">
        <v>9170</v>
      </c>
      <c r="B210" s="3">
        <v>9170</v>
      </c>
      <c r="C210" t="s">
        <v>537</v>
      </c>
      <c r="D210" s="86"/>
      <c r="E210" s="86"/>
      <c r="F210" s="86"/>
      <c r="G210" s="86"/>
      <c r="H210" s="86"/>
      <c r="I210" s="86"/>
      <c r="J210" s="14">
        <f t="shared" si="3"/>
        <v>0</v>
      </c>
    </row>
    <row r="211" spans="1:10" ht="12.75">
      <c r="A211" s="3">
        <v>9175</v>
      </c>
      <c r="B211" s="3">
        <v>9175</v>
      </c>
      <c r="C211" t="s">
        <v>538</v>
      </c>
      <c r="D211" s="86"/>
      <c r="E211" s="86"/>
      <c r="F211" s="86"/>
      <c r="G211" s="86"/>
      <c r="H211" s="86"/>
      <c r="I211" s="86"/>
      <c r="J211" s="14">
        <f t="shared" si="3"/>
        <v>0</v>
      </c>
    </row>
    <row r="212" ht="12.75">
      <c r="J212" s="14"/>
    </row>
    <row r="213" spans="3:10" ht="13.5" customHeight="1">
      <c r="C213" t="s">
        <v>289</v>
      </c>
      <c r="D213" s="86">
        <f aca="true" t="shared" si="4" ref="D213:J213">SUM(D10:D212)</f>
        <v>1083200.61</v>
      </c>
      <c r="E213" s="86">
        <f t="shared" si="4"/>
        <v>0</v>
      </c>
      <c r="F213" s="86">
        <f t="shared" si="4"/>
        <v>0</v>
      </c>
      <c r="G213" s="86">
        <f t="shared" si="4"/>
        <v>41254.03999999998</v>
      </c>
      <c r="H213" s="86">
        <f t="shared" si="4"/>
        <v>0</v>
      </c>
      <c r="I213" s="86">
        <f t="shared" si="4"/>
        <v>0</v>
      </c>
      <c r="J213" s="63">
        <f t="shared" si="4"/>
        <v>1124454.6500000004</v>
      </c>
    </row>
    <row r="215" spans="4:10" ht="12.75">
      <c r="D215" s="14"/>
      <c r="E215" s="14"/>
      <c r="J215" s="14"/>
    </row>
  </sheetData>
  <sheetProtection/>
  <printOptions/>
  <pageMargins left="0.75" right="0.75" top="1" bottom="1" header="0.5" footer="0.5"/>
  <pageSetup fitToHeight="0" fitToWidth="1" horizontalDpi="600" verticalDpi="600" orientation="landscape" paperSize="5" scale="81" r:id="rId1"/>
  <headerFooter alignWithMargins="0">
    <oddHeader>&amp;CFY 2018-19 CDE Audit Findings for Data Pipeline</oddHeader>
    <oddFooter>&amp;LCDE, Public School Finance Unit&amp;R&amp;D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9"/>
  <sheetViews>
    <sheetView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A1" sqref="A1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28125" style="0" customWidth="1"/>
    <col min="5" max="5" width="1.28515625" style="0" customWidth="1"/>
    <col min="7" max="7" width="9.140625" style="18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5.7109375" style="1" customWidth="1"/>
    <col min="15" max="15" width="14.140625" style="1" customWidth="1"/>
    <col min="16" max="16" width="16.7109375" style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4.140625" style="1" customWidth="1"/>
    <col min="22" max="22" width="10.57421875" style="0" bestFit="1" customWidth="1"/>
    <col min="23" max="23" width="12.7109375" style="0" bestFit="1" customWidth="1"/>
  </cols>
  <sheetData>
    <row r="1" spans="1:20" s="16" customFormat="1" ht="73.5" customHeight="1">
      <c r="A1" s="16" t="s">
        <v>0</v>
      </c>
      <c r="B1" s="16" t="s">
        <v>1</v>
      </c>
      <c r="C1" s="16" t="s">
        <v>2</v>
      </c>
      <c r="D1" s="92" t="s">
        <v>276</v>
      </c>
      <c r="F1" s="16" t="s">
        <v>277</v>
      </c>
      <c r="G1" s="124" t="s">
        <v>525</v>
      </c>
      <c r="H1" s="16" t="s">
        <v>504</v>
      </c>
      <c r="J1" s="93" t="s">
        <v>278</v>
      </c>
      <c r="K1" s="17"/>
      <c r="L1" s="17" t="s">
        <v>526</v>
      </c>
      <c r="N1" s="17" t="s">
        <v>279</v>
      </c>
      <c r="O1" s="17" t="s">
        <v>280</v>
      </c>
      <c r="P1" s="19" t="s">
        <v>281</v>
      </c>
      <c r="Q1" s="20"/>
      <c r="R1" s="92" t="s">
        <v>282</v>
      </c>
      <c r="S1" s="93" t="s">
        <v>278</v>
      </c>
      <c r="T1" s="19" t="s">
        <v>515</v>
      </c>
    </row>
    <row r="2" spans="7:20" s="16" customFormat="1" ht="27" customHeight="1">
      <c r="G2" s="70"/>
      <c r="J2" s="17"/>
      <c r="K2" s="17"/>
      <c r="L2" s="17"/>
      <c r="N2" s="17"/>
      <c r="O2" s="17"/>
      <c r="P2" s="19" t="s">
        <v>283</v>
      </c>
      <c r="Q2" s="20"/>
      <c r="S2" s="17"/>
      <c r="T2" s="19" t="s">
        <v>284</v>
      </c>
    </row>
    <row r="3" ht="12.75">
      <c r="Q3" s="21"/>
    </row>
    <row r="4" spans="1:24" ht="12.75">
      <c r="A4" t="s">
        <v>5</v>
      </c>
      <c r="B4" t="s">
        <v>6</v>
      </c>
      <c r="C4" s="59" t="s">
        <v>309</v>
      </c>
      <c r="D4" s="18">
        <v>8443.4</v>
      </c>
      <c r="F4" s="56">
        <v>0</v>
      </c>
      <c r="H4" s="18">
        <f aca="true" t="shared" si="0" ref="H4:H67">F4-G4</f>
        <v>0</v>
      </c>
      <c r="J4" s="61">
        <v>8067.43</v>
      </c>
      <c r="N4" s="1">
        <f>H4*J4</f>
        <v>0</v>
      </c>
      <c r="P4" s="4">
        <f aca="true" t="shared" si="1" ref="P4:P67">N4+O4</f>
        <v>0</v>
      </c>
      <c r="Q4" s="22"/>
      <c r="R4" s="48">
        <v>192</v>
      </c>
      <c r="S4" s="61">
        <v>8067.43</v>
      </c>
      <c r="T4" s="4">
        <f>R4*S4</f>
        <v>1548946.56</v>
      </c>
      <c r="V4" s="39"/>
      <c r="W4" s="1"/>
      <c r="X4" s="1"/>
    </row>
    <row r="5" spans="1:24" ht="12.75">
      <c r="A5" t="s">
        <v>7</v>
      </c>
      <c r="B5" t="s">
        <v>6</v>
      </c>
      <c r="C5" s="59" t="s">
        <v>310</v>
      </c>
      <c r="D5" s="18">
        <v>37290.9</v>
      </c>
      <c r="F5" s="56">
        <v>3496.6</v>
      </c>
      <c r="G5" s="71"/>
      <c r="H5" s="18">
        <f t="shared" si="0"/>
        <v>3496.6</v>
      </c>
      <c r="I5" s="18"/>
      <c r="J5" s="61">
        <v>7938.08</v>
      </c>
      <c r="N5" s="1">
        <f aca="true" t="shared" si="2" ref="N5:N68">H5*J5</f>
        <v>27756290.528</v>
      </c>
      <c r="P5" s="4">
        <f t="shared" si="1"/>
        <v>27756290.528</v>
      </c>
      <c r="Q5" s="22"/>
      <c r="R5" s="48">
        <v>350.5</v>
      </c>
      <c r="S5" s="61">
        <v>7938.08</v>
      </c>
      <c r="T5" s="4">
        <f aca="true" t="shared" si="3" ref="T5:T68">R5*S5</f>
        <v>2782297.04</v>
      </c>
      <c r="V5" s="39"/>
      <c r="W5" s="1"/>
      <c r="X5" s="1"/>
    </row>
    <row r="6" spans="1:24" ht="12.75">
      <c r="A6" t="s">
        <v>8</v>
      </c>
      <c r="B6" t="s">
        <v>6</v>
      </c>
      <c r="C6" s="59" t="s">
        <v>311</v>
      </c>
      <c r="D6" s="18">
        <v>7033.8</v>
      </c>
      <c r="F6" s="56">
        <v>0</v>
      </c>
      <c r="H6" s="18">
        <f t="shared" si="0"/>
        <v>0</v>
      </c>
      <c r="J6" s="61">
        <v>8434.2</v>
      </c>
      <c r="N6" s="1">
        <f t="shared" si="2"/>
        <v>0</v>
      </c>
      <c r="P6" s="4">
        <f t="shared" si="1"/>
        <v>0</v>
      </c>
      <c r="Q6" s="22"/>
      <c r="R6" s="48">
        <v>468</v>
      </c>
      <c r="S6" s="61">
        <v>8434.2</v>
      </c>
      <c r="T6" s="4">
        <f t="shared" si="3"/>
        <v>3947205.6000000006</v>
      </c>
      <c r="V6" s="39"/>
      <c r="W6" s="1"/>
      <c r="X6" s="1"/>
    </row>
    <row r="7" spans="1:24" ht="12.75">
      <c r="A7" t="s">
        <v>9</v>
      </c>
      <c r="B7" t="s">
        <v>6</v>
      </c>
      <c r="C7" s="59" t="s">
        <v>312</v>
      </c>
      <c r="D7" s="18">
        <v>17913.6</v>
      </c>
      <c r="F7" s="56">
        <v>3802.9</v>
      </c>
      <c r="H7" s="18">
        <f t="shared" si="0"/>
        <v>3802.9</v>
      </c>
      <c r="J7" s="61">
        <v>7838.9</v>
      </c>
      <c r="N7" s="1">
        <f t="shared" si="2"/>
        <v>29810552.81</v>
      </c>
      <c r="P7" s="4">
        <f t="shared" si="1"/>
        <v>29810552.81</v>
      </c>
      <c r="Q7" s="22"/>
      <c r="R7" s="48">
        <v>402</v>
      </c>
      <c r="S7" s="61">
        <v>7838.9</v>
      </c>
      <c r="T7" s="4">
        <f t="shared" si="3"/>
        <v>3151237.8</v>
      </c>
      <c r="V7" s="39"/>
      <c r="W7" s="1"/>
      <c r="X7" s="1"/>
    </row>
    <row r="8" spans="1:24" ht="12.75">
      <c r="A8" t="s">
        <v>10</v>
      </c>
      <c r="B8" t="s">
        <v>6</v>
      </c>
      <c r="C8" s="59" t="s">
        <v>313</v>
      </c>
      <c r="D8" s="18">
        <v>1031.8</v>
      </c>
      <c r="F8" s="56">
        <v>0</v>
      </c>
      <c r="H8" s="18">
        <f t="shared" si="0"/>
        <v>0</v>
      </c>
      <c r="J8" s="61">
        <v>8419.92</v>
      </c>
      <c r="N8" s="1">
        <f t="shared" si="2"/>
        <v>0</v>
      </c>
      <c r="P8" s="4">
        <f t="shared" si="1"/>
        <v>0</v>
      </c>
      <c r="Q8" s="22"/>
      <c r="R8" s="48">
        <v>10</v>
      </c>
      <c r="S8" s="61">
        <v>8419.92</v>
      </c>
      <c r="T8" s="4">
        <f t="shared" si="3"/>
        <v>84199.2</v>
      </c>
      <c r="V8" s="39"/>
      <c r="W8" s="1"/>
      <c r="X8" s="1"/>
    </row>
    <row r="9" spans="1:24" ht="12.75">
      <c r="A9" t="s">
        <v>11</v>
      </c>
      <c r="B9" t="s">
        <v>6</v>
      </c>
      <c r="C9" s="59" t="s">
        <v>314</v>
      </c>
      <c r="D9" s="18">
        <v>976.9</v>
      </c>
      <c r="F9" s="56">
        <v>0</v>
      </c>
      <c r="H9" s="18">
        <f t="shared" si="0"/>
        <v>0</v>
      </c>
      <c r="J9" s="61">
        <v>8400.56</v>
      </c>
      <c r="N9" s="1">
        <f t="shared" si="2"/>
        <v>0</v>
      </c>
      <c r="P9" s="4">
        <f t="shared" si="1"/>
        <v>0</v>
      </c>
      <c r="Q9" s="22"/>
      <c r="R9" s="48">
        <v>11</v>
      </c>
      <c r="S9" s="61">
        <v>8400.56</v>
      </c>
      <c r="T9" s="4">
        <f t="shared" si="3"/>
        <v>92406.15999999999</v>
      </c>
      <c r="V9" s="39"/>
      <c r="W9" s="1"/>
      <c r="X9" s="1"/>
    </row>
    <row r="10" spans="1:24" ht="12.75">
      <c r="A10" t="s">
        <v>12</v>
      </c>
      <c r="B10" t="s">
        <v>6</v>
      </c>
      <c r="C10" s="59" t="s">
        <v>315</v>
      </c>
      <c r="D10" s="18">
        <v>9329.8</v>
      </c>
      <c r="F10" s="56">
        <v>0</v>
      </c>
      <c r="H10" s="18">
        <f t="shared" si="0"/>
        <v>0</v>
      </c>
      <c r="J10" s="61">
        <v>8323.41</v>
      </c>
      <c r="N10" s="1">
        <f t="shared" si="2"/>
        <v>0</v>
      </c>
      <c r="P10" s="4">
        <f t="shared" si="1"/>
        <v>0</v>
      </c>
      <c r="Q10" s="22"/>
      <c r="R10" s="48">
        <v>595</v>
      </c>
      <c r="S10" s="61">
        <v>8323.41</v>
      </c>
      <c r="T10" s="4">
        <f t="shared" si="3"/>
        <v>4952428.95</v>
      </c>
      <c r="V10" s="39"/>
      <c r="W10" s="1"/>
      <c r="X10" s="1"/>
    </row>
    <row r="11" spans="1:24" ht="12.75">
      <c r="A11" t="s">
        <v>13</v>
      </c>
      <c r="B11" t="s">
        <v>14</v>
      </c>
      <c r="C11" s="59" t="s">
        <v>316</v>
      </c>
      <c r="D11" s="18">
        <v>2367.7</v>
      </c>
      <c r="F11" s="56">
        <v>0</v>
      </c>
      <c r="H11" s="18">
        <f t="shared" si="0"/>
        <v>0</v>
      </c>
      <c r="J11" s="61">
        <v>7913.94</v>
      </c>
      <c r="N11" s="1">
        <f t="shared" si="2"/>
        <v>0</v>
      </c>
      <c r="P11" s="4">
        <f t="shared" si="1"/>
        <v>0</v>
      </c>
      <c r="Q11" s="22"/>
      <c r="R11" s="48">
        <v>105</v>
      </c>
      <c r="S11" s="61">
        <v>7913.94</v>
      </c>
      <c r="T11" s="4">
        <f t="shared" si="3"/>
        <v>830963.7</v>
      </c>
      <c r="V11" s="39"/>
      <c r="W11" s="1"/>
      <c r="X11" s="1"/>
    </row>
    <row r="12" spans="1:24" ht="12.75">
      <c r="A12" t="s">
        <v>15</v>
      </c>
      <c r="B12" t="s">
        <v>14</v>
      </c>
      <c r="C12" s="59" t="s">
        <v>317</v>
      </c>
      <c r="D12" s="18">
        <v>296.40000000000003</v>
      </c>
      <c r="F12" s="56">
        <v>0</v>
      </c>
      <c r="H12" s="18">
        <f t="shared" si="0"/>
        <v>0</v>
      </c>
      <c r="J12" s="61">
        <v>10761.06</v>
      </c>
      <c r="N12" s="1">
        <f t="shared" si="2"/>
        <v>0</v>
      </c>
      <c r="P12" s="4">
        <f t="shared" si="1"/>
        <v>0</v>
      </c>
      <c r="Q12" s="22"/>
      <c r="R12" s="48">
        <v>8.5</v>
      </c>
      <c r="S12" s="61">
        <v>10761.06</v>
      </c>
      <c r="T12" s="4">
        <f t="shared" si="3"/>
        <v>91469.01</v>
      </c>
      <c r="V12" s="39"/>
      <c r="W12" s="1"/>
      <c r="X12" s="1"/>
    </row>
    <row r="13" spans="1:24" ht="12.75">
      <c r="A13" t="s">
        <v>16</v>
      </c>
      <c r="B13" t="s">
        <v>17</v>
      </c>
      <c r="C13" s="59" t="s">
        <v>318</v>
      </c>
      <c r="D13" s="18">
        <v>2590.4</v>
      </c>
      <c r="F13" s="56">
        <v>0</v>
      </c>
      <c r="H13" s="18">
        <f t="shared" si="0"/>
        <v>0</v>
      </c>
      <c r="J13" s="61">
        <v>8404.72</v>
      </c>
      <c r="N13" s="1">
        <f t="shared" si="2"/>
        <v>0</v>
      </c>
      <c r="P13" s="4">
        <f t="shared" si="1"/>
        <v>0</v>
      </c>
      <c r="Q13" s="22"/>
      <c r="R13" s="48">
        <v>109</v>
      </c>
      <c r="S13" s="61">
        <v>8404.72</v>
      </c>
      <c r="T13" s="4">
        <f t="shared" si="3"/>
        <v>916114.48</v>
      </c>
      <c r="V13" s="39"/>
      <c r="W13" s="1"/>
      <c r="X13" s="1"/>
    </row>
    <row r="14" spans="1:24" ht="12.75">
      <c r="A14" t="s">
        <v>18</v>
      </c>
      <c r="B14" t="s">
        <v>17</v>
      </c>
      <c r="C14" s="59" t="s">
        <v>319</v>
      </c>
      <c r="D14" s="18">
        <v>1347.5</v>
      </c>
      <c r="F14" s="56">
        <v>0</v>
      </c>
      <c r="H14" s="18">
        <f t="shared" si="0"/>
        <v>0</v>
      </c>
      <c r="J14" s="61">
        <v>9552.18</v>
      </c>
      <c r="N14" s="1">
        <f t="shared" si="2"/>
        <v>0</v>
      </c>
      <c r="P14" s="4">
        <f t="shared" si="1"/>
        <v>0</v>
      </c>
      <c r="Q14" s="22"/>
      <c r="R14" s="48">
        <v>61</v>
      </c>
      <c r="S14" s="61">
        <v>9552.18</v>
      </c>
      <c r="T14" s="4">
        <f t="shared" si="3"/>
        <v>582682.98</v>
      </c>
      <c r="V14" s="39"/>
      <c r="W14" s="1"/>
      <c r="X14" s="1"/>
    </row>
    <row r="15" spans="1:24" ht="12.75">
      <c r="A15" t="s">
        <v>19</v>
      </c>
      <c r="B15" t="s">
        <v>17</v>
      </c>
      <c r="C15" s="59" t="s">
        <v>320</v>
      </c>
      <c r="D15" s="18">
        <v>52869.7</v>
      </c>
      <c r="F15" s="56">
        <v>834.4</v>
      </c>
      <c r="H15" s="18">
        <f t="shared" si="0"/>
        <v>834.4</v>
      </c>
      <c r="J15" s="61">
        <v>8089.21</v>
      </c>
      <c r="N15" s="1">
        <f t="shared" si="2"/>
        <v>6749636.824</v>
      </c>
      <c r="P15" s="4">
        <f t="shared" si="1"/>
        <v>6749636.824</v>
      </c>
      <c r="Q15" s="22"/>
      <c r="R15" s="48">
        <v>251</v>
      </c>
      <c r="S15" s="61">
        <v>8089.21</v>
      </c>
      <c r="T15" s="4">
        <f t="shared" si="3"/>
        <v>2030391.71</v>
      </c>
      <c r="V15" s="39"/>
      <c r="W15" s="1"/>
      <c r="X15" s="1"/>
    </row>
    <row r="16" spans="1:24" ht="12.75">
      <c r="A16" t="s">
        <v>20</v>
      </c>
      <c r="B16" t="s">
        <v>17</v>
      </c>
      <c r="C16" s="59" t="s">
        <v>321</v>
      </c>
      <c r="D16" s="18">
        <v>14642.699999999999</v>
      </c>
      <c r="F16" s="56">
        <v>986.5</v>
      </c>
      <c r="H16" s="18">
        <f t="shared" si="0"/>
        <v>986.5</v>
      </c>
      <c r="J16" s="61">
        <v>7818.96</v>
      </c>
      <c r="N16" s="1">
        <f t="shared" si="2"/>
        <v>7713404.04</v>
      </c>
      <c r="P16" s="4">
        <f t="shared" si="1"/>
        <v>7713404.04</v>
      </c>
      <c r="Q16" s="22"/>
      <c r="R16" s="48">
        <v>120</v>
      </c>
      <c r="S16" s="61">
        <v>7818.96</v>
      </c>
      <c r="T16" s="4">
        <f t="shared" si="3"/>
        <v>938275.2</v>
      </c>
      <c r="V16" s="39"/>
      <c r="W16" s="1"/>
      <c r="X16" s="1"/>
    </row>
    <row r="17" spans="1:24" ht="12.75">
      <c r="A17" t="s">
        <v>21</v>
      </c>
      <c r="B17" t="s">
        <v>17</v>
      </c>
      <c r="C17" s="59" t="s">
        <v>322</v>
      </c>
      <c r="D17" s="18">
        <v>180</v>
      </c>
      <c r="F17" s="56">
        <v>0</v>
      </c>
      <c r="H17" s="18">
        <f t="shared" si="0"/>
        <v>0</v>
      </c>
      <c r="J17" s="61">
        <v>14390.25</v>
      </c>
      <c r="N17" s="1">
        <f t="shared" si="2"/>
        <v>0</v>
      </c>
      <c r="P17" s="4">
        <f t="shared" si="1"/>
        <v>0</v>
      </c>
      <c r="Q17" s="22"/>
      <c r="R17" s="48">
        <v>3</v>
      </c>
      <c r="S17" s="61">
        <v>14390.25</v>
      </c>
      <c r="T17" s="4">
        <f t="shared" si="3"/>
        <v>43170.75</v>
      </c>
      <c r="V17" s="39"/>
      <c r="W17" s="1"/>
      <c r="X17" s="1"/>
    </row>
    <row r="18" spans="1:24" ht="12.75">
      <c r="A18" t="s">
        <v>22</v>
      </c>
      <c r="B18" t="s">
        <v>17</v>
      </c>
      <c r="C18" s="59" t="s">
        <v>323</v>
      </c>
      <c r="D18" s="18">
        <v>38579.7</v>
      </c>
      <c r="F18" s="56">
        <v>4971.6</v>
      </c>
      <c r="H18" s="18">
        <f t="shared" si="0"/>
        <v>4971.6</v>
      </c>
      <c r="J18" s="61">
        <v>8471.28</v>
      </c>
      <c r="N18" s="1">
        <f t="shared" si="2"/>
        <v>42115815.64800001</v>
      </c>
      <c r="P18" s="4">
        <f t="shared" si="1"/>
        <v>42115815.64800001</v>
      </c>
      <c r="Q18" s="22"/>
      <c r="R18" s="48">
        <v>949.5</v>
      </c>
      <c r="S18" s="61">
        <v>8471.28</v>
      </c>
      <c r="T18" s="4">
        <f t="shared" si="3"/>
        <v>8043480.36</v>
      </c>
      <c r="V18" s="39"/>
      <c r="W18" s="1"/>
      <c r="X18" s="1"/>
    </row>
    <row r="19" spans="1:24" ht="12.75">
      <c r="A19" t="s">
        <v>23</v>
      </c>
      <c r="B19" t="s">
        <v>17</v>
      </c>
      <c r="C19" s="59" t="s">
        <v>324</v>
      </c>
      <c r="D19" s="18">
        <v>2765.5</v>
      </c>
      <c r="F19" s="56">
        <v>2272.3</v>
      </c>
      <c r="G19" s="56">
        <v>2266</v>
      </c>
      <c r="H19" s="18">
        <f t="shared" si="0"/>
        <v>6.300000000000182</v>
      </c>
      <c r="J19" s="61">
        <v>7762.41</v>
      </c>
      <c r="L19" s="1">
        <v>7019.71</v>
      </c>
      <c r="N19" s="1">
        <f t="shared" si="2"/>
        <v>48903.18300000141</v>
      </c>
      <c r="O19" s="1">
        <f>G19*L19</f>
        <v>15906662.86</v>
      </c>
      <c r="P19" s="4">
        <f t="shared" si="1"/>
        <v>15955566.043000001</v>
      </c>
      <c r="Q19" s="22"/>
      <c r="R19" s="48">
        <v>6</v>
      </c>
      <c r="S19" s="61">
        <v>7762.41</v>
      </c>
      <c r="T19" s="4">
        <f t="shared" si="3"/>
        <v>46574.46</v>
      </c>
      <c r="V19" s="39"/>
      <c r="W19" s="1"/>
      <c r="X19" s="1"/>
    </row>
    <row r="20" spans="1:24" ht="12.75">
      <c r="A20" t="s">
        <v>24</v>
      </c>
      <c r="B20" t="s">
        <v>25</v>
      </c>
      <c r="C20" s="59" t="s">
        <v>325</v>
      </c>
      <c r="D20" s="18">
        <v>1652.5</v>
      </c>
      <c r="F20" s="56">
        <v>88</v>
      </c>
      <c r="H20" s="18">
        <f t="shared" si="0"/>
        <v>88</v>
      </c>
      <c r="J20" s="61">
        <v>8208.05</v>
      </c>
      <c r="N20" s="1">
        <f t="shared" si="2"/>
        <v>722308.3999999999</v>
      </c>
      <c r="P20" s="4">
        <f t="shared" si="1"/>
        <v>722308.3999999999</v>
      </c>
      <c r="Q20" s="22"/>
      <c r="R20" s="48">
        <v>39.5</v>
      </c>
      <c r="S20" s="61">
        <v>8208.05</v>
      </c>
      <c r="T20" s="4">
        <f t="shared" si="3"/>
        <v>324217.975</v>
      </c>
      <c r="V20" s="39"/>
      <c r="W20" s="1"/>
      <c r="X20" s="1"/>
    </row>
    <row r="21" spans="1:24" ht="12.75">
      <c r="A21" t="s">
        <v>26</v>
      </c>
      <c r="B21" t="s">
        <v>27</v>
      </c>
      <c r="C21" s="59" t="s">
        <v>326</v>
      </c>
      <c r="D21" s="18">
        <v>150.6</v>
      </c>
      <c r="F21" s="56">
        <v>0</v>
      </c>
      <c r="H21" s="18">
        <f t="shared" si="0"/>
        <v>0</v>
      </c>
      <c r="J21" s="61">
        <v>14005.47</v>
      </c>
      <c r="N21" s="1">
        <f t="shared" si="2"/>
        <v>0</v>
      </c>
      <c r="P21" s="4">
        <f t="shared" si="1"/>
        <v>0</v>
      </c>
      <c r="Q21" s="22"/>
      <c r="R21" s="48">
        <v>6</v>
      </c>
      <c r="S21" s="61">
        <v>14005.47</v>
      </c>
      <c r="T21" s="4">
        <f t="shared" si="3"/>
        <v>84032.81999999999</v>
      </c>
      <c r="V21" s="39"/>
      <c r="W21" s="1"/>
      <c r="X21" s="1"/>
    </row>
    <row r="22" spans="1:24" ht="12.75">
      <c r="A22" t="s">
        <v>28</v>
      </c>
      <c r="B22" t="s">
        <v>27</v>
      </c>
      <c r="C22" s="59" t="s">
        <v>327</v>
      </c>
      <c r="D22" s="18">
        <v>51.5</v>
      </c>
      <c r="F22" s="56">
        <v>0</v>
      </c>
      <c r="H22" s="18">
        <f t="shared" si="0"/>
        <v>0</v>
      </c>
      <c r="J22" s="61">
        <v>16795.69</v>
      </c>
      <c r="N22" s="1">
        <f t="shared" si="2"/>
        <v>0</v>
      </c>
      <c r="P22" s="4">
        <f t="shared" si="1"/>
        <v>0</v>
      </c>
      <c r="Q22" s="22"/>
      <c r="R22" s="48">
        <v>2</v>
      </c>
      <c r="S22" s="61">
        <v>16795.69</v>
      </c>
      <c r="T22" s="4">
        <f t="shared" si="3"/>
        <v>33591.38</v>
      </c>
      <c r="V22" s="39"/>
      <c r="W22" s="1"/>
      <c r="X22" s="1"/>
    </row>
    <row r="23" spans="1:24" ht="12.75">
      <c r="A23" t="s">
        <v>29</v>
      </c>
      <c r="B23" t="s">
        <v>27</v>
      </c>
      <c r="C23" s="59" t="s">
        <v>328</v>
      </c>
      <c r="D23" s="18">
        <v>291.7</v>
      </c>
      <c r="F23" s="56">
        <v>0</v>
      </c>
      <c r="H23" s="18">
        <f t="shared" si="0"/>
        <v>0</v>
      </c>
      <c r="J23" s="61">
        <v>10542.66</v>
      </c>
      <c r="N23" s="1">
        <f t="shared" si="2"/>
        <v>0</v>
      </c>
      <c r="P23" s="4">
        <f t="shared" si="1"/>
        <v>0</v>
      </c>
      <c r="Q23" s="22"/>
      <c r="R23" s="48">
        <v>11</v>
      </c>
      <c r="S23" s="61">
        <v>10542.66</v>
      </c>
      <c r="T23" s="4">
        <f t="shared" si="3"/>
        <v>115969.26</v>
      </c>
      <c r="V23" s="39"/>
      <c r="W23" s="1"/>
      <c r="X23" s="1"/>
    </row>
    <row r="24" spans="1:24" ht="12.75">
      <c r="A24" t="s">
        <v>30</v>
      </c>
      <c r="B24" t="s">
        <v>27</v>
      </c>
      <c r="C24" s="59" t="s">
        <v>329</v>
      </c>
      <c r="D24" s="18">
        <v>50</v>
      </c>
      <c r="F24" s="62">
        <v>0</v>
      </c>
      <c r="H24" s="18">
        <f t="shared" si="0"/>
        <v>0</v>
      </c>
      <c r="J24" s="61">
        <v>16625.72</v>
      </c>
      <c r="N24" s="1">
        <f t="shared" si="2"/>
        <v>0</v>
      </c>
      <c r="P24" s="4">
        <f t="shared" si="1"/>
        <v>0</v>
      </c>
      <c r="Q24" s="22"/>
      <c r="R24" s="48">
        <v>1.5</v>
      </c>
      <c r="S24" s="61">
        <v>16625.72</v>
      </c>
      <c r="T24" s="4">
        <f t="shared" si="3"/>
        <v>24938.58</v>
      </c>
      <c r="V24" s="39"/>
      <c r="W24" s="1"/>
      <c r="X24" s="1"/>
    </row>
    <row r="25" spans="1:24" ht="12.75">
      <c r="A25" t="s">
        <v>31</v>
      </c>
      <c r="B25" t="s">
        <v>27</v>
      </c>
      <c r="C25" s="59" t="s">
        <v>330</v>
      </c>
      <c r="D25" s="18">
        <v>50</v>
      </c>
      <c r="F25" s="56">
        <v>0</v>
      </c>
      <c r="H25" s="18">
        <f t="shared" si="0"/>
        <v>0</v>
      </c>
      <c r="J25" s="61">
        <v>16422.72</v>
      </c>
      <c r="N25" s="1">
        <f t="shared" si="2"/>
        <v>0</v>
      </c>
      <c r="P25" s="4">
        <f t="shared" si="1"/>
        <v>0</v>
      </c>
      <c r="Q25" s="22"/>
      <c r="R25" s="48">
        <v>1</v>
      </c>
      <c r="S25" s="61">
        <v>16422.72</v>
      </c>
      <c r="T25" s="4">
        <f t="shared" si="3"/>
        <v>16422.72</v>
      </c>
      <c r="V25" s="39"/>
      <c r="W25" s="1"/>
      <c r="X25" s="1"/>
    </row>
    <row r="26" spans="1:24" ht="12.75">
      <c r="A26" t="s">
        <v>32</v>
      </c>
      <c r="B26" t="s">
        <v>33</v>
      </c>
      <c r="C26" s="72" t="s">
        <v>331</v>
      </c>
      <c r="D26" s="18">
        <v>2292.5</v>
      </c>
      <c r="F26" s="56">
        <v>0</v>
      </c>
      <c r="H26" s="18">
        <f t="shared" si="0"/>
        <v>0</v>
      </c>
      <c r="J26" s="61">
        <v>8238.04</v>
      </c>
      <c r="N26" s="1">
        <f t="shared" si="2"/>
        <v>0</v>
      </c>
      <c r="P26" s="4">
        <f t="shared" si="1"/>
        <v>0</v>
      </c>
      <c r="Q26" s="22"/>
      <c r="R26" s="48">
        <v>21.5</v>
      </c>
      <c r="S26" s="61">
        <v>8238.04</v>
      </c>
      <c r="T26" s="4">
        <f t="shared" si="3"/>
        <v>177117.86000000002</v>
      </c>
      <c r="V26" s="39"/>
      <c r="W26" s="1"/>
      <c r="X26" s="1"/>
    </row>
    <row r="27" spans="1:24" ht="12.75">
      <c r="A27" t="s">
        <v>35</v>
      </c>
      <c r="B27" t="s">
        <v>33</v>
      </c>
      <c r="C27" s="59" t="s">
        <v>332</v>
      </c>
      <c r="D27" s="18">
        <v>244.5</v>
      </c>
      <c r="F27" s="56">
        <v>0</v>
      </c>
      <c r="H27" s="18">
        <f t="shared" si="0"/>
        <v>0</v>
      </c>
      <c r="J27" s="61">
        <v>11227.69</v>
      </c>
      <c r="N27" s="1">
        <f t="shared" si="2"/>
        <v>0</v>
      </c>
      <c r="P27" s="4">
        <f t="shared" si="1"/>
        <v>0</v>
      </c>
      <c r="Q27" s="22"/>
      <c r="R27" s="48">
        <v>5.5</v>
      </c>
      <c r="S27" s="61">
        <v>11227.69</v>
      </c>
      <c r="T27" s="4">
        <f t="shared" si="3"/>
        <v>61752.295000000006</v>
      </c>
      <c r="V27" s="39"/>
      <c r="W27" s="1"/>
      <c r="X27" s="1"/>
    </row>
    <row r="28" spans="1:24" ht="12.75">
      <c r="A28" t="s">
        <v>36</v>
      </c>
      <c r="B28" t="s">
        <v>37</v>
      </c>
      <c r="C28" s="59" t="s">
        <v>333</v>
      </c>
      <c r="D28" s="18">
        <v>30188.5</v>
      </c>
      <c r="F28" s="56">
        <v>2894.4</v>
      </c>
      <c r="H28" s="18">
        <f t="shared" si="0"/>
        <v>2894.4</v>
      </c>
      <c r="J28" s="61">
        <v>7913.96</v>
      </c>
      <c r="N28" s="1">
        <f t="shared" si="2"/>
        <v>22906165.824</v>
      </c>
      <c r="P28" s="4">
        <f t="shared" si="1"/>
        <v>22906165.824</v>
      </c>
      <c r="Q28" s="22"/>
      <c r="R28" s="48">
        <v>225</v>
      </c>
      <c r="S28" s="61">
        <v>7913.96</v>
      </c>
      <c r="T28" s="4">
        <f t="shared" si="3"/>
        <v>1780641</v>
      </c>
      <c r="V28" s="39"/>
      <c r="W28" s="1"/>
      <c r="X28" s="1"/>
    </row>
    <row r="29" spans="1:24" ht="12.75">
      <c r="A29" t="s">
        <v>38</v>
      </c>
      <c r="B29" t="s">
        <v>37</v>
      </c>
      <c r="C29" s="59" t="s">
        <v>334</v>
      </c>
      <c r="D29" s="18">
        <v>29794.2</v>
      </c>
      <c r="F29" s="56">
        <v>2294.1</v>
      </c>
      <c r="H29" s="18">
        <f t="shared" si="0"/>
        <v>2294.1</v>
      </c>
      <c r="J29" s="61">
        <v>8057.95</v>
      </c>
      <c r="N29" s="1">
        <f t="shared" si="2"/>
        <v>18485743.095</v>
      </c>
      <c r="P29" s="4">
        <f t="shared" si="1"/>
        <v>18485743.095</v>
      </c>
      <c r="Q29" s="22"/>
      <c r="R29" s="48">
        <v>263.5</v>
      </c>
      <c r="S29" s="61">
        <v>8057.95</v>
      </c>
      <c r="T29" s="4">
        <f t="shared" si="3"/>
        <v>2123269.8249999997</v>
      </c>
      <c r="V29" s="39"/>
      <c r="W29" s="1"/>
      <c r="X29" s="1"/>
    </row>
    <row r="30" spans="1:24" ht="12.75">
      <c r="A30" t="s">
        <v>39</v>
      </c>
      <c r="B30" t="s">
        <v>40</v>
      </c>
      <c r="C30" s="59" t="s">
        <v>335</v>
      </c>
      <c r="D30" s="18">
        <v>1002.5</v>
      </c>
      <c r="F30" s="56">
        <v>0</v>
      </c>
      <c r="H30" s="18">
        <f t="shared" si="0"/>
        <v>0</v>
      </c>
      <c r="J30" s="61">
        <v>8226.76</v>
      </c>
      <c r="N30" s="1">
        <f t="shared" si="2"/>
        <v>0</v>
      </c>
      <c r="P30" s="4">
        <f t="shared" si="1"/>
        <v>0</v>
      </c>
      <c r="Q30" s="22"/>
      <c r="R30" s="48">
        <v>59.5</v>
      </c>
      <c r="S30" s="61">
        <v>8226.76</v>
      </c>
      <c r="T30" s="4">
        <f t="shared" si="3"/>
        <v>489492.22000000003</v>
      </c>
      <c r="V30" s="39"/>
      <c r="W30" s="1"/>
      <c r="X30" s="1"/>
    </row>
    <row r="31" spans="1:24" ht="12.75">
      <c r="A31" t="s">
        <v>41</v>
      </c>
      <c r="B31" t="s">
        <v>40</v>
      </c>
      <c r="C31" s="59" t="s">
        <v>336</v>
      </c>
      <c r="D31" s="18">
        <v>1206.2</v>
      </c>
      <c r="F31" s="56">
        <v>0</v>
      </c>
      <c r="H31" s="18">
        <f t="shared" si="0"/>
        <v>0</v>
      </c>
      <c r="J31" s="61">
        <v>7996.18</v>
      </c>
      <c r="N31" s="1">
        <f t="shared" si="2"/>
        <v>0</v>
      </c>
      <c r="P31" s="4">
        <f t="shared" si="1"/>
        <v>0</v>
      </c>
      <c r="Q31" s="22"/>
      <c r="R31" s="48">
        <v>25</v>
      </c>
      <c r="S31" s="61">
        <v>7996.18</v>
      </c>
      <c r="T31" s="4">
        <f t="shared" si="3"/>
        <v>199904.5</v>
      </c>
      <c r="V31" s="39"/>
      <c r="W31" s="1"/>
      <c r="X31" s="1"/>
    </row>
    <row r="32" spans="1:24" ht="12.75">
      <c r="A32" t="s">
        <v>42</v>
      </c>
      <c r="B32" t="s">
        <v>43</v>
      </c>
      <c r="C32" s="59" t="s">
        <v>337</v>
      </c>
      <c r="D32" s="18">
        <v>105</v>
      </c>
      <c r="F32" s="56">
        <v>0</v>
      </c>
      <c r="H32" s="18">
        <f t="shared" si="0"/>
        <v>0</v>
      </c>
      <c r="J32" s="61">
        <v>14817.45</v>
      </c>
      <c r="N32" s="1">
        <f t="shared" si="2"/>
        <v>0</v>
      </c>
      <c r="P32" s="4">
        <f t="shared" si="1"/>
        <v>0</v>
      </c>
      <c r="Q32" s="22"/>
      <c r="R32" s="48">
        <v>1</v>
      </c>
      <c r="S32" s="61">
        <v>14817.45</v>
      </c>
      <c r="T32" s="4">
        <f t="shared" si="3"/>
        <v>14817.45</v>
      </c>
      <c r="V32" s="39"/>
      <c r="W32" s="1"/>
      <c r="X32" s="1"/>
    </row>
    <row r="33" spans="1:24" ht="12.75">
      <c r="A33" t="s">
        <v>45</v>
      </c>
      <c r="B33" t="s">
        <v>43</v>
      </c>
      <c r="C33" s="59" t="s">
        <v>338</v>
      </c>
      <c r="D33" s="18">
        <v>168.4</v>
      </c>
      <c r="F33" s="56">
        <v>0</v>
      </c>
      <c r="H33" s="18">
        <f t="shared" si="0"/>
        <v>0</v>
      </c>
      <c r="J33" s="61">
        <v>13792.82</v>
      </c>
      <c r="N33" s="1">
        <f t="shared" si="2"/>
        <v>0</v>
      </c>
      <c r="P33" s="4">
        <f t="shared" si="1"/>
        <v>0</v>
      </c>
      <c r="Q33" s="22"/>
      <c r="R33" s="48">
        <v>4</v>
      </c>
      <c r="S33" s="61">
        <v>13792.82</v>
      </c>
      <c r="T33" s="4">
        <f t="shared" si="3"/>
        <v>55171.28</v>
      </c>
      <c r="V33" s="39"/>
      <c r="W33" s="1"/>
      <c r="X33" s="1"/>
    </row>
    <row r="34" spans="1:24" ht="12.75">
      <c r="A34" t="s">
        <v>46</v>
      </c>
      <c r="B34" t="s">
        <v>47</v>
      </c>
      <c r="C34" s="59" t="s">
        <v>339</v>
      </c>
      <c r="D34" s="18">
        <v>765.6999999999999</v>
      </c>
      <c r="F34" s="56">
        <v>98.2</v>
      </c>
      <c r="H34" s="18">
        <f t="shared" si="0"/>
        <v>98.2</v>
      </c>
      <c r="J34" s="61">
        <v>8736.64</v>
      </c>
      <c r="N34" s="1">
        <f t="shared" si="2"/>
        <v>857938.048</v>
      </c>
      <c r="P34" s="4">
        <f t="shared" si="1"/>
        <v>857938.048</v>
      </c>
      <c r="Q34" s="22"/>
      <c r="R34" s="48">
        <v>20</v>
      </c>
      <c r="S34" s="61">
        <v>8736.64</v>
      </c>
      <c r="T34" s="4">
        <f t="shared" si="3"/>
        <v>174732.8</v>
      </c>
      <c r="V34" s="39"/>
      <c r="W34" s="1"/>
      <c r="X34" s="1"/>
    </row>
    <row r="35" spans="1:24" ht="12.75">
      <c r="A35" t="s">
        <v>48</v>
      </c>
      <c r="B35" t="s">
        <v>49</v>
      </c>
      <c r="C35" s="59" t="s">
        <v>340</v>
      </c>
      <c r="D35" s="18">
        <v>1037.8</v>
      </c>
      <c r="F35" s="56">
        <v>0</v>
      </c>
      <c r="H35" s="18">
        <f t="shared" si="0"/>
        <v>0</v>
      </c>
      <c r="J35" s="61">
        <v>8063.55</v>
      </c>
      <c r="N35" s="1">
        <f t="shared" si="2"/>
        <v>0</v>
      </c>
      <c r="P35" s="4">
        <f t="shared" si="1"/>
        <v>0</v>
      </c>
      <c r="Q35" s="22"/>
      <c r="R35" s="48">
        <v>35.5</v>
      </c>
      <c r="S35" s="61">
        <v>8063.55</v>
      </c>
      <c r="T35" s="4">
        <f t="shared" si="3"/>
        <v>286256.025</v>
      </c>
      <c r="V35" s="39"/>
      <c r="W35" s="1"/>
      <c r="X35" s="1"/>
    </row>
    <row r="36" spans="1:24" ht="12.75">
      <c r="A36" t="s">
        <v>50</v>
      </c>
      <c r="B36" t="s">
        <v>49</v>
      </c>
      <c r="C36" s="59" t="s">
        <v>341</v>
      </c>
      <c r="D36" s="18">
        <v>359.8</v>
      </c>
      <c r="F36" s="56">
        <v>0</v>
      </c>
      <c r="H36" s="18">
        <f t="shared" si="0"/>
        <v>0</v>
      </c>
      <c r="J36" s="61">
        <v>9888.37</v>
      </c>
      <c r="N36" s="1">
        <f t="shared" si="2"/>
        <v>0</v>
      </c>
      <c r="P36" s="4">
        <f t="shared" si="1"/>
        <v>0</v>
      </c>
      <c r="Q36" s="22"/>
      <c r="R36" s="48">
        <v>16</v>
      </c>
      <c r="S36" s="61">
        <v>9888.37</v>
      </c>
      <c r="T36" s="4">
        <f t="shared" si="3"/>
        <v>158213.92</v>
      </c>
      <c r="V36" s="39"/>
      <c r="W36" s="1"/>
      <c r="X36" s="1"/>
    </row>
    <row r="37" spans="1:24" ht="12.75">
      <c r="A37" t="s">
        <v>51</v>
      </c>
      <c r="B37" t="s">
        <v>49</v>
      </c>
      <c r="C37" s="59" t="s">
        <v>342</v>
      </c>
      <c r="D37" s="18">
        <v>193.79999999999998</v>
      </c>
      <c r="F37" s="56">
        <v>0</v>
      </c>
      <c r="H37" s="18">
        <f t="shared" si="0"/>
        <v>0</v>
      </c>
      <c r="J37" s="61">
        <v>13139.86</v>
      </c>
      <c r="N37" s="1">
        <f t="shared" si="2"/>
        <v>0</v>
      </c>
      <c r="P37" s="4">
        <f t="shared" si="1"/>
        <v>0</v>
      </c>
      <c r="Q37" s="22"/>
      <c r="R37" s="48">
        <v>6</v>
      </c>
      <c r="S37" s="61">
        <v>13139.86</v>
      </c>
      <c r="T37" s="4">
        <f t="shared" si="3"/>
        <v>78839.16</v>
      </c>
      <c r="V37" s="39"/>
      <c r="W37" s="1"/>
      <c r="X37" s="1"/>
    </row>
    <row r="38" spans="1:24" ht="12.75">
      <c r="A38" t="s">
        <v>52</v>
      </c>
      <c r="B38" t="s">
        <v>53</v>
      </c>
      <c r="C38" s="59" t="s">
        <v>343</v>
      </c>
      <c r="D38" s="18">
        <v>216.9</v>
      </c>
      <c r="F38" s="56">
        <v>0</v>
      </c>
      <c r="H38" s="18">
        <f t="shared" si="0"/>
        <v>0</v>
      </c>
      <c r="J38" s="61">
        <v>12691.54</v>
      </c>
      <c r="N38" s="1">
        <f t="shared" si="2"/>
        <v>0</v>
      </c>
      <c r="P38" s="4">
        <f t="shared" si="1"/>
        <v>0</v>
      </c>
      <c r="Q38" s="22"/>
      <c r="R38" s="48">
        <v>20</v>
      </c>
      <c r="S38" s="61">
        <v>12691.54</v>
      </c>
      <c r="T38" s="4">
        <f t="shared" si="3"/>
        <v>253830.80000000002</v>
      </c>
      <c r="V38" s="39"/>
      <c r="W38" s="1"/>
      <c r="X38" s="1"/>
    </row>
    <row r="39" spans="1:24" ht="12.75">
      <c r="A39" t="s">
        <v>54</v>
      </c>
      <c r="B39" t="s">
        <v>53</v>
      </c>
      <c r="C39" s="59" t="s">
        <v>344</v>
      </c>
      <c r="D39" s="18">
        <v>278</v>
      </c>
      <c r="F39" s="56">
        <v>0</v>
      </c>
      <c r="H39" s="18">
        <f t="shared" si="0"/>
        <v>0</v>
      </c>
      <c r="J39" s="61">
        <v>11207.33</v>
      </c>
      <c r="N39" s="1">
        <f t="shared" si="2"/>
        <v>0</v>
      </c>
      <c r="P39" s="4">
        <f t="shared" si="1"/>
        <v>0</v>
      </c>
      <c r="Q39" s="22"/>
      <c r="R39" s="48">
        <v>13</v>
      </c>
      <c r="S39" s="61">
        <v>11207.33</v>
      </c>
      <c r="T39" s="4">
        <f t="shared" si="3"/>
        <v>145695.29</v>
      </c>
      <c r="V39" s="39"/>
      <c r="W39" s="1"/>
      <c r="X39" s="1"/>
    </row>
    <row r="40" spans="1:24" ht="12.75">
      <c r="A40" t="s">
        <v>55</v>
      </c>
      <c r="B40" t="s">
        <v>56</v>
      </c>
      <c r="C40" s="59" t="s">
        <v>345</v>
      </c>
      <c r="D40" s="18">
        <v>445.59999999999997</v>
      </c>
      <c r="F40" s="56">
        <v>0</v>
      </c>
      <c r="H40" s="18">
        <f t="shared" si="0"/>
        <v>0</v>
      </c>
      <c r="J40" s="61">
        <v>9064.12</v>
      </c>
      <c r="N40" s="1">
        <f t="shared" si="2"/>
        <v>0</v>
      </c>
      <c r="P40" s="4">
        <f t="shared" si="1"/>
        <v>0</v>
      </c>
      <c r="Q40" s="22"/>
      <c r="R40" s="48">
        <v>22.5</v>
      </c>
      <c r="S40" s="61">
        <v>9064.12</v>
      </c>
      <c r="T40" s="4">
        <f t="shared" si="3"/>
        <v>203942.7</v>
      </c>
      <c r="V40" s="39"/>
      <c r="W40" s="1"/>
      <c r="X40" s="1"/>
    </row>
    <row r="41" spans="1:24" ht="12.75">
      <c r="A41" t="s">
        <v>57</v>
      </c>
      <c r="B41" t="s">
        <v>58</v>
      </c>
      <c r="C41" s="59" t="s">
        <v>346</v>
      </c>
      <c r="D41" s="18">
        <v>360.1</v>
      </c>
      <c r="F41" s="56">
        <v>0</v>
      </c>
      <c r="H41" s="18">
        <f t="shared" si="0"/>
        <v>0</v>
      </c>
      <c r="J41" s="61">
        <v>10156.5</v>
      </c>
      <c r="N41" s="1">
        <f t="shared" si="2"/>
        <v>0</v>
      </c>
      <c r="P41" s="4">
        <f t="shared" si="1"/>
        <v>0</v>
      </c>
      <c r="Q41" s="22"/>
      <c r="R41" s="48">
        <v>13.5</v>
      </c>
      <c r="S41" s="61">
        <v>10156.5</v>
      </c>
      <c r="T41" s="4">
        <f t="shared" si="3"/>
        <v>137112.75</v>
      </c>
      <c r="V41" s="39"/>
      <c r="W41" s="1"/>
      <c r="X41" s="1"/>
    </row>
    <row r="42" spans="1:24" ht="12.75">
      <c r="A42" t="s">
        <v>59</v>
      </c>
      <c r="B42" t="s">
        <v>60</v>
      </c>
      <c r="C42" s="59" t="s">
        <v>347</v>
      </c>
      <c r="D42" s="18">
        <v>4680.700000000001</v>
      </c>
      <c r="F42" s="56">
        <v>393.2</v>
      </c>
      <c r="G42" s="18">
        <v>1.5</v>
      </c>
      <c r="H42" s="18">
        <f t="shared" si="0"/>
        <v>391.7</v>
      </c>
      <c r="J42" s="61">
        <v>7848.93</v>
      </c>
      <c r="L42" s="1">
        <v>7019.71</v>
      </c>
      <c r="N42" s="1">
        <f t="shared" si="2"/>
        <v>3074425.881</v>
      </c>
      <c r="O42" s="1">
        <f>G42*L42</f>
        <v>10529.565</v>
      </c>
      <c r="P42" s="4">
        <f t="shared" si="1"/>
        <v>3084955.446</v>
      </c>
      <c r="Q42" s="22"/>
      <c r="R42" s="48">
        <v>131</v>
      </c>
      <c r="S42" s="61">
        <v>7848.93</v>
      </c>
      <c r="T42" s="4">
        <f t="shared" si="3"/>
        <v>1028209.8300000001</v>
      </c>
      <c r="V42" s="39"/>
      <c r="W42" s="1"/>
      <c r="X42" s="1"/>
    </row>
    <row r="43" spans="1:24" ht="12.75">
      <c r="A43" t="s">
        <v>61</v>
      </c>
      <c r="B43" t="s">
        <v>62</v>
      </c>
      <c r="C43" s="59" t="s">
        <v>348</v>
      </c>
      <c r="D43" s="18">
        <v>87643.7</v>
      </c>
      <c r="F43" s="56">
        <v>19825.8</v>
      </c>
      <c r="H43" s="18">
        <f t="shared" si="0"/>
        <v>19825.8</v>
      </c>
      <c r="J43" s="61">
        <v>8409.09</v>
      </c>
      <c r="N43" s="1">
        <f t="shared" si="2"/>
        <v>166716936.52199998</v>
      </c>
      <c r="P43" s="4">
        <f t="shared" si="1"/>
        <v>166716936.52199998</v>
      </c>
      <c r="Q43" s="22"/>
      <c r="R43" s="48">
        <v>3385.5</v>
      </c>
      <c r="S43" s="61">
        <v>8409.09</v>
      </c>
      <c r="T43" s="4">
        <f t="shared" si="3"/>
        <v>28468974.195</v>
      </c>
      <c r="V43" s="39"/>
      <c r="W43" s="1"/>
      <c r="X43" s="1"/>
    </row>
    <row r="44" spans="1:24" ht="12.75">
      <c r="A44" t="s">
        <v>63</v>
      </c>
      <c r="B44" t="s">
        <v>64</v>
      </c>
      <c r="C44" s="59" t="s">
        <v>349</v>
      </c>
      <c r="D44" s="18">
        <v>237.4</v>
      </c>
      <c r="F44" s="56">
        <v>0</v>
      </c>
      <c r="H44" s="18">
        <f t="shared" si="0"/>
        <v>0</v>
      </c>
      <c r="J44" s="61">
        <v>12396.45</v>
      </c>
      <c r="N44" s="1">
        <f t="shared" si="2"/>
        <v>0</v>
      </c>
      <c r="P44" s="4">
        <f t="shared" si="1"/>
        <v>0</v>
      </c>
      <c r="Q44" s="22"/>
      <c r="R44" s="48">
        <v>6</v>
      </c>
      <c r="S44" s="61">
        <v>12396.45</v>
      </c>
      <c r="T44" s="4">
        <f t="shared" si="3"/>
        <v>74378.70000000001</v>
      </c>
      <c r="V44" s="39"/>
      <c r="W44" s="1"/>
      <c r="X44" s="1"/>
    </row>
    <row r="45" spans="1:24" ht="12.75">
      <c r="A45" t="s">
        <v>65</v>
      </c>
      <c r="B45" t="s">
        <v>66</v>
      </c>
      <c r="C45" s="59" t="s">
        <v>350</v>
      </c>
      <c r="D45" s="18">
        <v>63925.8</v>
      </c>
      <c r="F45" s="56">
        <v>15305.3</v>
      </c>
      <c r="G45" s="18">
        <v>1975</v>
      </c>
      <c r="H45" s="18">
        <f t="shared" si="0"/>
        <v>13330.3</v>
      </c>
      <c r="J45" s="61">
        <v>7845.03</v>
      </c>
      <c r="L45" s="1">
        <v>7019.71</v>
      </c>
      <c r="N45" s="1">
        <f>H45*J45</f>
        <v>104576603.409</v>
      </c>
      <c r="O45" s="1">
        <f>G45*L45</f>
        <v>13863927.25</v>
      </c>
      <c r="P45" s="4">
        <f t="shared" si="1"/>
        <v>118440530.659</v>
      </c>
      <c r="Q45" s="22"/>
      <c r="R45" s="48">
        <v>136.5</v>
      </c>
      <c r="S45" s="61">
        <v>7845.03</v>
      </c>
      <c r="T45" s="4">
        <f t="shared" si="3"/>
        <v>1070846.595</v>
      </c>
      <c r="V45" s="39"/>
      <c r="W45" s="1"/>
      <c r="X45" s="1"/>
    </row>
    <row r="46" spans="1:24" ht="12.75">
      <c r="A46" t="s">
        <v>67</v>
      </c>
      <c r="B46" t="s">
        <v>68</v>
      </c>
      <c r="C46" s="59" t="s">
        <v>351</v>
      </c>
      <c r="D46" s="18">
        <v>6590</v>
      </c>
      <c r="F46" s="56">
        <v>331.9</v>
      </c>
      <c r="H46" s="18">
        <f t="shared" si="0"/>
        <v>331.9</v>
      </c>
      <c r="J46" s="61">
        <v>8433.41</v>
      </c>
      <c r="N46" s="1">
        <f t="shared" si="2"/>
        <v>2799048.7789999996</v>
      </c>
      <c r="P46" s="4">
        <f t="shared" si="1"/>
        <v>2799048.7789999996</v>
      </c>
      <c r="Q46" s="22"/>
      <c r="R46" s="48">
        <v>119.5</v>
      </c>
      <c r="S46" s="61">
        <v>8433.41</v>
      </c>
      <c r="T46" s="4">
        <f t="shared" si="3"/>
        <v>1007792.495</v>
      </c>
      <c r="V46" s="39"/>
      <c r="W46" s="1"/>
      <c r="X46" s="1"/>
    </row>
    <row r="47" spans="1:24" ht="12.75">
      <c r="A47" t="s">
        <v>69</v>
      </c>
      <c r="B47" t="s">
        <v>70</v>
      </c>
      <c r="C47" s="59" t="s">
        <v>352</v>
      </c>
      <c r="D47" s="18">
        <v>2283.7000000000003</v>
      </c>
      <c r="F47" s="56">
        <v>396.1</v>
      </c>
      <c r="H47" s="18">
        <f t="shared" si="0"/>
        <v>396.1</v>
      </c>
      <c r="J47" s="61">
        <v>8045.8</v>
      </c>
      <c r="N47" s="1">
        <f t="shared" si="2"/>
        <v>3186941.3800000004</v>
      </c>
      <c r="P47" s="4">
        <f t="shared" si="1"/>
        <v>3186941.3800000004</v>
      </c>
      <c r="Q47" s="22"/>
      <c r="R47" s="48">
        <v>15.5</v>
      </c>
      <c r="S47" s="61">
        <v>8045.8</v>
      </c>
      <c r="T47" s="4">
        <f t="shared" si="3"/>
        <v>124709.90000000001</v>
      </c>
      <c r="V47" s="39"/>
      <c r="W47" s="1"/>
      <c r="X47" s="1"/>
    </row>
    <row r="48" spans="1:24" ht="12.75">
      <c r="A48" t="s">
        <v>71</v>
      </c>
      <c r="B48" t="s">
        <v>70</v>
      </c>
      <c r="C48" s="59" t="s">
        <v>353</v>
      </c>
      <c r="D48" s="18">
        <v>248.8</v>
      </c>
      <c r="F48" s="56">
        <v>0</v>
      </c>
      <c r="H48" s="18">
        <f t="shared" si="0"/>
        <v>0</v>
      </c>
      <c r="J48" s="61">
        <v>12315.21</v>
      </c>
      <c r="N48" s="1">
        <f t="shared" si="2"/>
        <v>0</v>
      </c>
      <c r="P48" s="4">
        <f t="shared" si="1"/>
        <v>0</v>
      </c>
      <c r="Q48" s="22"/>
      <c r="R48" s="48">
        <v>5.5</v>
      </c>
      <c r="S48" s="61">
        <v>12315.21</v>
      </c>
      <c r="T48" s="4">
        <f t="shared" si="3"/>
        <v>67733.655</v>
      </c>
      <c r="V48" s="39"/>
      <c r="W48" s="1"/>
      <c r="X48" s="1"/>
    </row>
    <row r="49" spans="1:24" ht="12.75">
      <c r="A49" t="s">
        <v>73</v>
      </c>
      <c r="B49" t="s">
        <v>70</v>
      </c>
      <c r="C49" s="59" t="s">
        <v>354</v>
      </c>
      <c r="D49" s="18">
        <v>299.6</v>
      </c>
      <c r="F49" s="56">
        <v>0</v>
      </c>
      <c r="H49" s="18">
        <f t="shared" si="0"/>
        <v>0</v>
      </c>
      <c r="J49" s="61">
        <v>11261.08</v>
      </c>
      <c r="N49" s="1">
        <f t="shared" si="2"/>
        <v>0</v>
      </c>
      <c r="P49" s="4">
        <f t="shared" si="1"/>
        <v>0</v>
      </c>
      <c r="Q49" s="22"/>
      <c r="R49" s="48">
        <v>9</v>
      </c>
      <c r="S49" s="61">
        <v>11261.08</v>
      </c>
      <c r="T49" s="4">
        <f t="shared" si="3"/>
        <v>101349.72</v>
      </c>
      <c r="V49" s="39"/>
      <c r="W49" s="1"/>
      <c r="X49" s="1"/>
    </row>
    <row r="50" spans="1:24" ht="12.75">
      <c r="A50" t="s">
        <v>74</v>
      </c>
      <c r="B50" t="s">
        <v>70</v>
      </c>
      <c r="C50" s="59" t="s">
        <v>355</v>
      </c>
      <c r="D50" s="18">
        <v>223.4</v>
      </c>
      <c r="F50" s="56">
        <v>0</v>
      </c>
      <c r="H50" s="18">
        <f t="shared" si="0"/>
        <v>0</v>
      </c>
      <c r="J50" s="61">
        <v>12866.78</v>
      </c>
      <c r="N50" s="1">
        <f t="shared" si="2"/>
        <v>0</v>
      </c>
      <c r="P50" s="4">
        <f t="shared" si="1"/>
        <v>0</v>
      </c>
      <c r="Q50" s="22"/>
      <c r="R50" s="48">
        <v>5</v>
      </c>
      <c r="S50" s="61">
        <v>12866.78</v>
      </c>
      <c r="T50" s="4">
        <f t="shared" si="3"/>
        <v>64333.9</v>
      </c>
      <c r="V50" s="39"/>
      <c r="W50" s="1"/>
      <c r="X50" s="1"/>
    </row>
    <row r="51" spans="1:24" ht="12.75">
      <c r="A51" t="s">
        <v>75</v>
      </c>
      <c r="B51" t="s">
        <v>70</v>
      </c>
      <c r="C51" s="59" t="s">
        <v>356</v>
      </c>
      <c r="D51" s="18">
        <v>50</v>
      </c>
      <c r="F51" s="56">
        <v>0</v>
      </c>
      <c r="H51" s="18">
        <f t="shared" si="0"/>
        <v>0</v>
      </c>
      <c r="J51" s="61">
        <v>18013.55</v>
      </c>
      <c r="N51" s="1">
        <f t="shared" si="2"/>
        <v>0</v>
      </c>
      <c r="P51" s="4">
        <f t="shared" si="1"/>
        <v>0</v>
      </c>
      <c r="Q51" s="22"/>
      <c r="R51" s="48">
        <v>0</v>
      </c>
      <c r="S51" s="61">
        <v>18013.55</v>
      </c>
      <c r="T51" s="4">
        <f t="shared" si="3"/>
        <v>0</v>
      </c>
      <c r="V51" s="39"/>
      <c r="W51" s="1"/>
      <c r="X51" s="1"/>
    </row>
    <row r="52" spans="1:24" ht="12.75">
      <c r="A52" t="s">
        <v>76</v>
      </c>
      <c r="B52" t="s">
        <v>77</v>
      </c>
      <c r="C52" s="59" t="s">
        <v>357</v>
      </c>
      <c r="D52" s="18">
        <v>443.3</v>
      </c>
      <c r="F52" s="56">
        <v>0</v>
      </c>
      <c r="H52" s="18">
        <f t="shared" si="0"/>
        <v>0</v>
      </c>
      <c r="J52" s="61">
        <v>9368.46</v>
      </c>
      <c r="N52" s="1">
        <f t="shared" si="2"/>
        <v>0</v>
      </c>
      <c r="P52" s="4">
        <f t="shared" si="1"/>
        <v>0</v>
      </c>
      <c r="Q52" s="22"/>
      <c r="R52" s="48">
        <v>11</v>
      </c>
      <c r="S52" s="61">
        <v>9368.46</v>
      </c>
      <c r="T52" s="4">
        <f t="shared" si="3"/>
        <v>103053.06</v>
      </c>
      <c r="V52" s="39"/>
      <c r="W52" s="1"/>
      <c r="X52" s="1"/>
    </row>
    <row r="53" spans="1:24" ht="12.75">
      <c r="A53" t="s">
        <v>78</v>
      </c>
      <c r="B53" t="s">
        <v>77</v>
      </c>
      <c r="C53" s="59" t="s">
        <v>358</v>
      </c>
      <c r="D53" s="18">
        <v>11449.3</v>
      </c>
      <c r="F53" s="56">
        <v>2302.7</v>
      </c>
      <c r="H53" s="18">
        <f t="shared" si="0"/>
        <v>2302.7</v>
      </c>
      <c r="J53" s="61">
        <v>8271.21</v>
      </c>
      <c r="N53" s="1">
        <f t="shared" si="2"/>
        <v>19046115.266999997</v>
      </c>
      <c r="P53" s="4">
        <f t="shared" si="1"/>
        <v>19046115.266999997</v>
      </c>
      <c r="Q53" s="22"/>
      <c r="R53" s="48">
        <v>268.5</v>
      </c>
      <c r="S53" s="61">
        <v>8271.21</v>
      </c>
      <c r="T53" s="4">
        <f t="shared" si="3"/>
        <v>2220819.885</v>
      </c>
      <c r="V53" s="39"/>
      <c r="W53" s="1"/>
      <c r="X53" s="1"/>
    </row>
    <row r="54" spans="1:24" ht="12.75">
      <c r="A54" t="s">
        <v>79</v>
      </c>
      <c r="B54" t="s">
        <v>77</v>
      </c>
      <c r="C54" s="59" t="s">
        <v>359</v>
      </c>
      <c r="D54" s="18">
        <v>9017.5</v>
      </c>
      <c r="F54" s="56">
        <v>137.2</v>
      </c>
      <c r="H54" s="18">
        <f t="shared" si="0"/>
        <v>137.2</v>
      </c>
      <c r="J54" s="61">
        <v>7713.61</v>
      </c>
      <c r="N54" s="1">
        <f t="shared" si="2"/>
        <v>1058307.292</v>
      </c>
      <c r="P54" s="4">
        <f t="shared" si="1"/>
        <v>1058307.292</v>
      </c>
      <c r="Q54" s="22"/>
      <c r="R54" s="48">
        <v>87.5</v>
      </c>
      <c r="S54" s="61">
        <v>7713.61</v>
      </c>
      <c r="T54" s="4">
        <f t="shared" si="3"/>
        <v>674940.875</v>
      </c>
      <c r="V54" s="39"/>
      <c r="W54" s="1"/>
      <c r="X54" s="1"/>
    </row>
    <row r="55" spans="1:24" ht="12.75">
      <c r="A55" t="s">
        <v>80</v>
      </c>
      <c r="B55" t="s">
        <v>77</v>
      </c>
      <c r="C55" s="59" t="s">
        <v>360</v>
      </c>
      <c r="D55" s="18">
        <v>7807</v>
      </c>
      <c r="F55" s="56">
        <v>0</v>
      </c>
      <c r="H55" s="18">
        <f t="shared" si="0"/>
        <v>0</v>
      </c>
      <c r="J55" s="61">
        <v>7713.81</v>
      </c>
      <c r="N55" s="1">
        <f t="shared" si="2"/>
        <v>0</v>
      </c>
      <c r="P55" s="4">
        <f t="shared" si="1"/>
        <v>0</v>
      </c>
      <c r="Q55" s="22"/>
      <c r="R55" s="48">
        <v>158</v>
      </c>
      <c r="S55" s="61">
        <v>7713.81</v>
      </c>
      <c r="T55" s="4">
        <f t="shared" si="3"/>
        <v>1218781.98</v>
      </c>
      <c r="V55" s="39"/>
      <c r="W55" s="1"/>
      <c r="X55" s="1"/>
    </row>
    <row r="56" spans="1:24" ht="12.75">
      <c r="A56" t="s">
        <v>81</v>
      </c>
      <c r="B56" t="s">
        <v>77</v>
      </c>
      <c r="C56" s="59" t="s">
        <v>361</v>
      </c>
      <c r="D56" s="18">
        <v>26240.399999999998</v>
      </c>
      <c r="F56" s="56">
        <v>1681.7</v>
      </c>
      <c r="G56" s="18">
        <v>2</v>
      </c>
      <c r="H56" s="18">
        <f t="shared" si="0"/>
        <v>1679.7</v>
      </c>
      <c r="J56" s="61">
        <v>8007.47</v>
      </c>
      <c r="N56" s="1">
        <f t="shared" si="2"/>
        <v>13450147.359000001</v>
      </c>
      <c r="P56" s="4">
        <f t="shared" si="1"/>
        <v>13450147.359000001</v>
      </c>
      <c r="Q56" s="22"/>
      <c r="R56" s="48">
        <v>421.5</v>
      </c>
      <c r="S56" s="61">
        <v>8007.47</v>
      </c>
      <c r="T56" s="4">
        <f t="shared" si="3"/>
        <v>3375148.605</v>
      </c>
      <c r="V56" s="39"/>
      <c r="W56" s="1"/>
      <c r="X56" s="1"/>
    </row>
    <row r="57" spans="1:24" ht="12.75">
      <c r="A57" t="s">
        <v>82</v>
      </c>
      <c r="B57" t="s">
        <v>77</v>
      </c>
      <c r="C57" s="59" t="s">
        <v>362</v>
      </c>
      <c r="D57" s="18">
        <v>4995.3</v>
      </c>
      <c r="F57" s="56">
        <v>1353.3</v>
      </c>
      <c r="H57" s="18">
        <f t="shared" si="0"/>
        <v>1353.3</v>
      </c>
      <c r="J57" s="61">
        <v>7713.84</v>
      </c>
      <c r="N57" s="1">
        <f t="shared" si="2"/>
        <v>10439139.672</v>
      </c>
      <c r="P57" s="4">
        <f t="shared" si="1"/>
        <v>10439139.672</v>
      </c>
      <c r="Q57" s="22"/>
      <c r="R57" s="48">
        <v>6</v>
      </c>
      <c r="S57" s="61">
        <v>7713.84</v>
      </c>
      <c r="T57" s="4">
        <f t="shared" si="3"/>
        <v>46283.04</v>
      </c>
      <c r="V57" s="39"/>
      <c r="W57" s="1"/>
      <c r="X57" s="1"/>
    </row>
    <row r="58" spans="1:24" ht="12.75">
      <c r="A58" t="s">
        <v>83</v>
      </c>
      <c r="B58" t="s">
        <v>77</v>
      </c>
      <c r="C58" s="59" t="s">
        <v>363</v>
      </c>
      <c r="D58" s="18">
        <v>1431.5</v>
      </c>
      <c r="F58" s="56">
        <v>0</v>
      </c>
      <c r="H58" s="18">
        <f t="shared" si="0"/>
        <v>0</v>
      </c>
      <c r="J58" s="61">
        <v>8263.32</v>
      </c>
      <c r="N58" s="1">
        <f t="shared" si="2"/>
        <v>0</v>
      </c>
      <c r="P58" s="4">
        <f t="shared" si="1"/>
        <v>0</v>
      </c>
      <c r="Q58" s="22"/>
      <c r="R58" s="48">
        <v>14</v>
      </c>
      <c r="S58" s="61">
        <v>8263.32</v>
      </c>
      <c r="T58" s="4">
        <f t="shared" si="3"/>
        <v>115686.48</v>
      </c>
      <c r="V58" s="39"/>
      <c r="W58" s="1"/>
      <c r="X58" s="1"/>
    </row>
    <row r="59" spans="1:24" ht="12.75">
      <c r="A59" t="s">
        <v>84</v>
      </c>
      <c r="B59" t="s">
        <v>77</v>
      </c>
      <c r="C59" s="80" t="s">
        <v>364</v>
      </c>
      <c r="D59" s="18">
        <v>24667.2</v>
      </c>
      <c r="F59" s="56">
        <v>3872.9</v>
      </c>
      <c r="G59" s="18">
        <v>476.5</v>
      </c>
      <c r="H59" s="18">
        <f t="shared" si="0"/>
        <v>3396.4</v>
      </c>
      <c r="J59" s="61">
        <v>7705.54</v>
      </c>
      <c r="L59" s="1">
        <v>7019.71</v>
      </c>
      <c r="N59" s="1">
        <f t="shared" si="2"/>
        <v>26171096.056</v>
      </c>
      <c r="O59" s="1">
        <f>G59*L59</f>
        <v>3344891.815</v>
      </c>
      <c r="P59" s="4">
        <f t="shared" si="1"/>
        <v>29515987.871000003</v>
      </c>
      <c r="Q59" s="22"/>
      <c r="R59" s="48">
        <v>38.5</v>
      </c>
      <c r="S59" s="61">
        <v>7705.54</v>
      </c>
      <c r="T59" s="4">
        <f t="shared" si="3"/>
        <v>296663.29</v>
      </c>
      <c r="V59" s="39"/>
      <c r="W59" s="1"/>
      <c r="X59" s="1"/>
    </row>
    <row r="60" spans="1:24" ht="12.75">
      <c r="A60" t="s">
        <v>85</v>
      </c>
      <c r="B60" t="s">
        <v>77</v>
      </c>
      <c r="C60" s="59" t="s">
        <v>365</v>
      </c>
      <c r="D60" s="18">
        <v>1032.4</v>
      </c>
      <c r="F60" s="56">
        <v>0</v>
      </c>
      <c r="H60" s="18">
        <f t="shared" si="0"/>
        <v>0</v>
      </c>
      <c r="J60" s="61">
        <v>8504.91</v>
      </c>
      <c r="N60" s="1">
        <f t="shared" si="2"/>
        <v>0</v>
      </c>
      <c r="P60" s="4">
        <f t="shared" si="1"/>
        <v>0</v>
      </c>
      <c r="Q60" s="22"/>
      <c r="R60" s="48">
        <v>54</v>
      </c>
      <c r="S60" s="61">
        <v>8504.91</v>
      </c>
      <c r="T60" s="4">
        <f t="shared" si="3"/>
        <v>459265.14</v>
      </c>
      <c r="V60" s="39"/>
      <c r="W60" s="1"/>
      <c r="X60" s="1"/>
    </row>
    <row r="61" spans="1:24" ht="12.75">
      <c r="A61" t="s">
        <v>86</v>
      </c>
      <c r="B61" t="s">
        <v>77</v>
      </c>
      <c r="C61" s="59" t="s">
        <v>366</v>
      </c>
      <c r="D61" s="18">
        <v>624.8000000000001</v>
      </c>
      <c r="F61" s="56">
        <v>0</v>
      </c>
      <c r="H61" s="18">
        <f t="shared" si="0"/>
        <v>0</v>
      </c>
      <c r="J61" s="61">
        <v>8823.02</v>
      </c>
      <c r="N61" s="1">
        <f t="shared" si="2"/>
        <v>0</v>
      </c>
      <c r="P61" s="4">
        <f t="shared" si="1"/>
        <v>0</v>
      </c>
      <c r="Q61" s="22"/>
      <c r="R61" s="48">
        <v>9</v>
      </c>
      <c r="S61" s="61">
        <v>8823.02</v>
      </c>
      <c r="T61" s="4">
        <f t="shared" si="3"/>
        <v>79407.18000000001</v>
      </c>
      <c r="V61" s="39"/>
      <c r="W61" s="1"/>
      <c r="X61" s="1"/>
    </row>
    <row r="62" spans="1:24" ht="12.75">
      <c r="A62" t="s">
        <v>87</v>
      </c>
      <c r="B62" t="s">
        <v>77</v>
      </c>
      <c r="C62" s="59" t="s">
        <v>367</v>
      </c>
      <c r="D62" s="18">
        <v>243.70000000000002</v>
      </c>
      <c r="F62" s="56">
        <v>0</v>
      </c>
      <c r="H62" s="18">
        <f t="shared" si="0"/>
        <v>0</v>
      </c>
      <c r="J62" s="61">
        <v>12382.71</v>
      </c>
      <c r="N62" s="1">
        <f t="shared" si="2"/>
        <v>0</v>
      </c>
      <c r="P62" s="4">
        <f t="shared" si="1"/>
        <v>0</v>
      </c>
      <c r="Q62" s="22"/>
      <c r="R62" s="48">
        <v>6</v>
      </c>
      <c r="S62" s="61">
        <v>12382.71</v>
      </c>
      <c r="T62" s="4">
        <f t="shared" si="3"/>
        <v>74296.26</v>
      </c>
      <c r="V62" s="39"/>
      <c r="W62" s="1"/>
      <c r="X62" s="1"/>
    </row>
    <row r="63" spans="1:24" ht="12.75">
      <c r="A63" t="s">
        <v>88</v>
      </c>
      <c r="B63" t="s">
        <v>77</v>
      </c>
      <c r="C63" s="59" t="s">
        <v>368</v>
      </c>
      <c r="D63" s="18">
        <v>6464</v>
      </c>
      <c r="F63" s="56">
        <v>905</v>
      </c>
      <c r="H63" s="18">
        <f t="shared" si="0"/>
        <v>905</v>
      </c>
      <c r="J63" s="61">
        <v>7716.35</v>
      </c>
      <c r="N63" s="1">
        <f t="shared" si="2"/>
        <v>6983296.75</v>
      </c>
      <c r="P63" s="4">
        <f t="shared" si="1"/>
        <v>6983296.75</v>
      </c>
      <c r="Q63" s="22"/>
      <c r="R63" s="48">
        <v>23.5</v>
      </c>
      <c r="S63" s="61">
        <v>7716.35</v>
      </c>
      <c r="T63" s="4">
        <f t="shared" si="3"/>
        <v>181334.225</v>
      </c>
      <c r="V63" s="39"/>
      <c r="W63" s="1"/>
      <c r="X63" s="1"/>
    </row>
    <row r="64" spans="1:24" ht="12.75">
      <c r="A64" t="s">
        <v>89</v>
      </c>
      <c r="B64" t="s">
        <v>77</v>
      </c>
      <c r="C64" s="59" t="s">
        <v>369</v>
      </c>
      <c r="D64" s="18">
        <v>23664.1</v>
      </c>
      <c r="F64" s="56">
        <v>8437.3</v>
      </c>
      <c r="G64" s="18">
        <v>4124</v>
      </c>
      <c r="H64" s="18">
        <f t="shared" si="0"/>
        <v>4313.299999999999</v>
      </c>
      <c r="J64" s="61">
        <v>7743.36</v>
      </c>
      <c r="L64" s="1">
        <v>7019.71</v>
      </c>
      <c r="N64" s="1">
        <f t="shared" si="2"/>
        <v>33399434.687999994</v>
      </c>
      <c r="O64" s="1">
        <f>G64*L64</f>
        <v>28949284.04</v>
      </c>
      <c r="P64" s="4">
        <f t="shared" si="1"/>
        <v>62348718.72799999</v>
      </c>
      <c r="Q64" s="22"/>
      <c r="R64" s="48">
        <v>62.5</v>
      </c>
      <c r="S64" s="61">
        <v>7743.36</v>
      </c>
      <c r="T64" s="4">
        <f t="shared" si="3"/>
        <v>483960</v>
      </c>
      <c r="V64" s="39"/>
      <c r="W64" s="1"/>
      <c r="X64" s="1"/>
    </row>
    <row r="65" spans="1:24" ht="12.75">
      <c r="A65" t="s">
        <v>90</v>
      </c>
      <c r="B65" t="s">
        <v>77</v>
      </c>
      <c r="C65" s="59" t="s">
        <v>370</v>
      </c>
      <c r="D65" s="18">
        <v>195.2</v>
      </c>
      <c r="F65" s="56">
        <v>0</v>
      </c>
      <c r="H65" s="18">
        <f t="shared" si="0"/>
        <v>0</v>
      </c>
      <c r="J65" s="61">
        <v>13458.52</v>
      </c>
      <c r="N65" s="1">
        <f t="shared" si="2"/>
        <v>0</v>
      </c>
      <c r="P65" s="4">
        <f t="shared" si="1"/>
        <v>0</v>
      </c>
      <c r="Q65" s="22"/>
      <c r="R65" s="48">
        <v>2.5</v>
      </c>
      <c r="S65" s="61">
        <v>13458.52</v>
      </c>
      <c r="T65" s="4">
        <f t="shared" si="3"/>
        <v>33646.3</v>
      </c>
      <c r="V65" s="39"/>
      <c r="W65" s="1"/>
      <c r="X65" s="1"/>
    </row>
    <row r="66" spans="1:24" ht="12.75">
      <c r="A66" t="s">
        <v>91</v>
      </c>
      <c r="B66" t="s">
        <v>77</v>
      </c>
      <c r="C66" s="59" t="s">
        <v>371</v>
      </c>
      <c r="D66" s="18">
        <v>283</v>
      </c>
      <c r="F66" s="56">
        <v>0</v>
      </c>
      <c r="H66" s="18">
        <f t="shared" si="0"/>
        <v>0</v>
      </c>
      <c r="J66" s="61">
        <v>11280.56</v>
      </c>
      <c r="N66" s="1">
        <f t="shared" si="2"/>
        <v>0</v>
      </c>
      <c r="P66" s="4">
        <f t="shared" si="1"/>
        <v>0</v>
      </c>
      <c r="Q66" s="22"/>
      <c r="R66" s="48">
        <v>7</v>
      </c>
      <c r="S66" s="61">
        <v>11280.56</v>
      </c>
      <c r="T66" s="4">
        <f t="shared" si="3"/>
        <v>78963.92</v>
      </c>
      <c r="V66" s="39"/>
      <c r="W66" s="1"/>
      <c r="X66" s="1"/>
    </row>
    <row r="67" spans="1:24" ht="12.75">
      <c r="A67" t="s">
        <v>92</v>
      </c>
      <c r="B67" t="s">
        <v>93</v>
      </c>
      <c r="C67" s="59" t="s">
        <v>372</v>
      </c>
      <c r="D67" s="18">
        <v>3649.2999999999997</v>
      </c>
      <c r="F67" s="56">
        <v>241.1</v>
      </c>
      <c r="H67" s="18">
        <f t="shared" si="0"/>
        <v>241.1</v>
      </c>
      <c r="J67" s="61">
        <v>7713.84</v>
      </c>
      <c r="N67" s="1">
        <f t="shared" si="2"/>
        <v>1859806.824</v>
      </c>
      <c r="P67" s="4">
        <f t="shared" si="1"/>
        <v>1859806.824</v>
      </c>
      <c r="Q67" s="22"/>
      <c r="R67" s="48">
        <v>139</v>
      </c>
      <c r="S67" s="61">
        <v>7713.84</v>
      </c>
      <c r="T67" s="4">
        <f t="shared" si="3"/>
        <v>1072223.76</v>
      </c>
      <c r="V67" s="39"/>
      <c r="W67" s="1"/>
      <c r="X67" s="1"/>
    </row>
    <row r="68" spans="1:24" ht="12.75">
      <c r="A68" t="s">
        <v>94</v>
      </c>
      <c r="B68" t="s">
        <v>93</v>
      </c>
      <c r="C68" s="59" t="s">
        <v>373</v>
      </c>
      <c r="D68" s="18">
        <v>1336.3</v>
      </c>
      <c r="F68" s="56">
        <v>0</v>
      </c>
      <c r="H68" s="18">
        <f aca="true" t="shared" si="4" ref="H68:H131">F68-G68</f>
        <v>0</v>
      </c>
      <c r="J68" s="61">
        <v>8067.45</v>
      </c>
      <c r="N68" s="1">
        <f t="shared" si="2"/>
        <v>0</v>
      </c>
      <c r="P68" s="4">
        <f aca="true" t="shared" si="5" ref="P68:P131">N68+O68</f>
        <v>0</v>
      </c>
      <c r="Q68" s="22"/>
      <c r="R68" s="48">
        <v>33</v>
      </c>
      <c r="S68" s="61">
        <v>8067.45</v>
      </c>
      <c r="T68" s="4">
        <f t="shared" si="3"/>
        <v>266225.85</v>
      </c>
      <c r="V68" s="39"/>
      <c r="W68" s="1"/>
      <c r="X68" s="1"/>
    </row>
    <row r="69" spans="1:24" ht="12.75">
      <c r="A69" t="s">
        <v>95</v>
      </c>
      <c r="B69" t="s">
        <v>93</v>
      </c>
      <c r="C69" s="59" t="s">
        <v>374</v>
      </c>
      <c r="D69" s="18">
        <v>205.3</v>
      </c>
      <c r="F69" s="56">
        <v>0</v>
      </c>
      <c r="H69" s="18">
        <f t="shared" si="4"/>
        <v>0</v>
      </c>
      <c r="J69" s="61">
        <v>12976.91</v>
      </c>
      <c r="N69" s="1">
        <f aca="true" t="shared" si="6" ref="N69:N132">H69*J69</f>
        <v>0</v>
      </c>
      <c r="P69" s="4">
        <f t="shared" si="5"/>
        <v>0</v>
      </c>
      <c r="Q69" s="22"/>
      <c r="R69" s="48">
        <v>7</v>
      </c>
      <c r="S69" s="61">
        <v>12976.91</v>
      </c>
      <c r="T69" s="4">
        <f aca="true" t="shared" si="7" ref="T69:T132">R69*S69</f>
        <v>90838.37</v>
      </c>
      <c r="V69" s="39"/>
      <c r="W69" s="1"/>
      <c r="X69" s="1"/>
    </row>
    <row r="70" spans="1:24" ht="12.75">
      <c r="A70" t="s">
        <v>96</v>
      </c>
      <c r="B70" t="s">
        <v>97</v>
      </c>
      <c r="C70" s="59" t="s">
        <v>375</v>
      </c>
      <c r="D70" s="18">
        <v>5524.1</v>
      </c>
      <c r="F70" s="56">
        <v>129.1</v>
      </c>
      <c r="H70" s="18">
        <f t="shared" si="4"/>
        <v>129.1</v>
      </c>
      <c r="J70" s="61">
        <v>8380.34</v>
      </c>
      <c r="N70" s="1">
        <f t="shared" si="6"/>
        <v>1081901.8939999999</v>
      </c>
      <c r="P70" s="4">
        <f t="shared" si="5"/>
        <v>1081901.8939999999</v>
      </c>
      <c r="Q70" s="22"/>
      <c r="R70" s="48">
        <v>148.5</v>
      </c>
      <c r="S70" s="61">
        <v>8380.34</v>
      </c>
      <c r="T70" s="4">
        <f t="shared" si="7"/>
        <v>1244480.49</v>
      </c>
      <c r="V70" s="39"/>
      <c r="W70" s="1"/>
      <c r="X70" s="1"/>
    </row>
    <row r="71" spans="1:24" ht="12.75">
      <c r="A71" t="s">
        <v>98</v>
      </c>
      <c r="B71" t="s">
        <v>97</v>
      </c>
      <c r="C71" s="59" t="s">
        <v>376</v>
      </c>
      <c r="D71" s="18">
        <v>4740.8</v>
      </c>
      <c r="F71" s="56">
        <v>0</v>
      </c>
      <c r="H71" s="18">
        <f t="shared" si="4"/>
        <v>0</v>
      </c>
      <c r="J71" s="61">
        <v>7833.86</v>
      </c>
      <c r="N71" s="1">
        <f t="shared" si="6"/>
        <v>0</v>
      </c>
      <c r="P71" s="4">
        <f t="shared" si="5"/>
        <v>0</v>
      </c>
      <c r="Q71" s="22"/>
      <c r="R71" s="48">
        <v>118</v>
      </c>
      <c r="S71" s="61">
        <v>7833.86</v>
      </c>
      <c r="T71" s="4">
        <f t="shared" si="7"/>
        <v>924395.48</v>
      </c>
      <c r="V71" s="39"/>
      <c r="W71" s="1"/>
      <c r="X71" s="1"/>
    </row>
    <row r="72" spans="1:24" ht="12.75">
      <c r="A72" t="s">
        <v>99</v>
      </c>
      <c r="B72" t="s">
        <v>97</v>
      </c>
      <c r="C72" s="59" t="s">
        <v>377</v>
      </c>
      <c r="D72" s="18">
        <v>1163.4</v>
      </c>
      <c r="F72" s="56">
        <v>0</v>
      </c>
      <c r="H72" s="18">
        <f t="shared" si="4"/>
        <v>0</v>
      </c>
      <c r="J72" s="61">
        <v>8545.02</v>
      </c>
      <c r="N72" s="1">
        <f t="shared" si="6"/>
        <v>0</v>
      </c>
      <c r="P72" s="4">
        <f t="shared" si="5"/>
        <v>0</v>
      </c>
      <c r="Q72" s="22"/>
      <c r="R72" s="48">
        <v>50</v>
      </c>
      <c r="S72" s="61">
        <v>8545.02</v>
      </c>
      <c r="T72" s="4">
        <f t="shared" si="7"/>
        <v>427251</v>
      </c>
      <c r="V72" s="39"/>
      <c r="W72" s="1"/>
      <c r="X72" s="1"/>
    </row>
    <row r="73" spans="1:24" ht="12.75">
      <c r="A73" t="s">
        <v>100</v>
      </c>
      <c r="B73" t="s">
        <v>101</v>
      </c>
      <c r="C73" s="59" t="s">
        <v>378</v>
      </c>
      <c r="D73" s="18">
        <v>441.6</v>
      </c>
      <c r="F73" s="56">
        <v>0</v>
      </c>
      <c r="H73" s="18">
        <f t="shared" si="4"/>
        <v>0</v>
      </c>
      <c r="J73" s="61">
        <v>9621.51</v>
      </c>
      <c r="N73" s="1">
        <f t="shared" si="6"/>
        <v>0</v>
      </c>
      <c r="P73" s="4">
        <f t="shared" si="5"/>
        <v>0</v>
      </c>
      <c r="Q73" s="22"/>
      <c r="R73" s="48">
        <v>3.5</v>
      </c>
      <c r="S73" s="61">
        <v>9621.51</v>
      </c>
      <c r="T73" s="4">
        <f t="shared" si="7"/>
        <v>33675.285</v>
      </c>
      <c r="V73" s="39"/>
      <c r="W73" s="1"/>
      <c r="X73" s="1"/>
    </row>
    <row r="74" spans="1:24" ht="12.75">
      <c r="A74" t="s">
        <v>102</v>
      </c>
      <c r="B74" t="s">
        <v>103</v>
      </c>
      <c r="C74" s="59" t="s">
        <v>379</v>
      </c>
      <c r="D74" s="18">
        <v>420.8</v>
      </c>
      <c r="F74" s="56">
        <v>0</v>
      </c>
      <c r="H74" s="18">
        <f t="shared" si="4"/>
        <v>0</v>
      </c>
      <c r="J74" s="61">
        <v>9904</v>
      </c>
      <c r="N74" s="1">
        <f t="shared" si="6"/>
        <v>0</v>
      </c>
      <c r="P74" s="4">
        <f t="shared" si="5"/>
        <v>0</v>
      </c>
      <c r="Q74" s="22"/>
      <c r="R74" s="48">
        <v>10</v>
      </c>
      <c r="S74" s="61">
        <v>9904</v>
      </c>
      <c r="T74" s="4">
        <f t="shared" si="7"/>
        <v>99040</v>
      </c>
      <c r="V74" s="39"/>
      <c r="W74" s="1"/>
      <c r="X74" s="1"/>
    </row>
    <row r="75" spans="1:24" ht="12.75">
      <c r="A75" t="s">
        <v>104</v>
      </c>
      <c r="B75" t="s">
        <v>103</v>
      </c>
      <c r="C75" s="59" t="s">
        <v>380</v>
      </c>
      <c r="D75" s="18">
        <v>1285.3</v>
      </c>
      <c r="F75" s="56">
        <v>0</v>
      </c>
      <c r="H75" s="18">
        <f t="shared" si="4"/>
        <v>0</v>
      </c>
      <c r="J75" s="61">
        <v>8183.47</v>
      </c>
      <c r="N75" s="1">
        <f t="shared" si="6"/>
        <v>0</v>
      </c>
      <c r="P75" s="4">
        <f t="shared" si="5"/>
        <v>0</v>
      </c>
      <c r="Q75" s="22"/>
      <c r="R75" s="48">
        <v>22</v>
      </c>
      <c r="S75" s="61">
        <v>8183.47</v>
      </c>
      <c r="T75" s="4">
        <f t="shared" si="7"/>
        <v>180036.34</v>
      </c>
      <c r="V75" s="39"/>
      <c r="W75" s="1"/>
      <c r="X75" s="1"/>
    </row>
    <row r="76" spans="1:24" ht="12.75">
      <c r="A76" t="s">
        <v>105</v>
      </c>
      <c r="B76" t="s">
        <v>106</v>
      </c>
      <c r="C76" s="59" t="s">
        <v>381</v>
      </c>
      <c r="D76" s="18">
        <v>1987.7</v>
      </c>
      <c r="F76" s="56">
        <v>39.2</v>
      </c>
      <c r="H76" s="18">
        <f t="shared" si="4"/>
        <v>39.2</v>
      </c>
      <c r="J76" s="61">
        <v>8036.12</v>
      </c>
      <c r="N76" s="1">
        <f t="shared" si="6"/>
        <v>315015.90400000004</v>
      </c>
      <c r="P76" s="4">
        <f t="shared" si="5"/>
        <v>315015.90400000004</v>
      </c>
      <c r="Q76" s="22"/>
      <c r="R76" s="48">
        <v>32</v>
      </c>
      <c r="S76" s="61">
        <v>8036.12</v>
      </c>
      <c r="T76" s="4">
        <f t="shared" si="7"/>
        <v>257155.84</v>
      </c>
      <c r="V76" s="39"/>
      <c r="W76" s="1"/>
      <c r="X76" s="1"/>
    </row>
    <row r="77" spans="1:24" ht="12.75">
      <c r="A77" t="s">
        <v>107</v>
      </c>
      <c r="B77" t="s">
        <v>108</v>
      </c>
      <c r="C77" s="59" t="s">
        <v>382</v>
      </c>
      <c r="D77" s="18">
        <v>87.3</v>
      </c>
      <c r="F77" s="56">
        <v>0</v>
      </c>
      <c r="H77" s="18">
        <f t="shared" si="4"/>
        <v>0</v>
      </c>
      <c r="J77" s="61">
        <v>16592.94</v>
      </c>
      <c r="N77" s="1">
        <f t="shared" si="6"/>
        <v>0</v>
      </c>
      <c r="P77" s="4">
        <f t="shared" si="5"/>
        <v>0</v>
      </c>
      <c r="Q77" s="22"/>
      <c r="R77" s="48">
        <v>4</v>
      </c>
      <c r="S77" s="61">
        <v>16592.94</v>
      </c>
      <c r="T77" s="4">
        <f t="shared" si="7"/>
        <v>66371.76</v>
      </c>
      <c r="V77" s="39"/>
      <c r="W77" s="1"/>
      <c r="X77" s="1"/>
    </row>
    <row r="78" spans="1:24" ht="12.75">
      <c r="A78" t="s">
        <v>109</v>
      </c>
      <c r="B78" t="s">
        <v>110</v>
      </c>
      <c r="C78" s="59" t="s">
        <v>383</v>
      </c>
      <c r="D78" s="18">
        <v>517</v>
      </c>
      <c r="F78" s="56">
        <v>0</v>
      </c>
      <c r="H78" s="18">
        <f t="shared" si="4"/>
        <v>0</v>
      </c>
      <c r="J78" s="61">
        <v>8961.04</v>
      </c>
      <c r="N78" s="1">
        <f t="shared" si="6"/>
        <v>0</v>
      </c>
      <c r="P78" s="4">
        <f t="shared" si="5"/>
        <v>0</v>
      </c>
      <c r="Q78" s="22"/>
      <c r="R78" s="48">
        <v>22</v>
      </c>
      <c r="S78" s="61">
        <v>8961.04</v>
      </c>
      <c r="T78" s="4">
        <f t="shared" si="7"/>
        <v>197142.88</v>
      </c>
      <c r="V78" s="39"/>
      <c r="W78" s="1"/>
      <c r="X78" s="1"/>
    </row>
    <row r="79" spans="1:24" ht="12.75">
      <c r="A79" t="s">
        <v>111</v>
      </c>
      <c r="B79" t="s">
        <v>110</v>
      </c>
      <c r="C79" s="59" t="s">
        <v>384</v>
      </c>
      <c r="D79" s="18">
        <v>212.70000000000002</v>
      </c>
      <c r="F79" s="56">
        <v>0</v>
      </c>
      <c r="H79" s="18">
        <f t="shared" si="4"/>
        <v>0</v>
      </c>
      <c r="J79" s="61">
        <v>12272.19</v>
      </c>
      <c r="N79" s="1">
        <f t="shared" si="6"/>
        <v>0</v>
      </c>
      <c r="P79" s="4">
        <f t="shared" si="5"/>
        <v>0</v>
      </c>
      <c r="Q79" s="22"/>
      <c r="R79" s="48">
        <v>8</v>
      </c>
      <c r="S79" s="61">
        <v>12272.19</v>
      </c>
      <c r="T79" s="4">
        <f t="shared" si="7"/>
        <v>98177.52</v>
      </c>
      <c r="V79" s="39"/>
      <c r="W79" s="1"/>
      <c r="X79" s="1"/>
    </row>
    <row r="80" spans="1:24" ht="12.75">
      <c r="A80" t="s">
        <v>112</v>
      </c>
      <c r="B80" t="s">
        <v>113</v>
      </c>
      <c r="C80" s="59" t="s">
        <v>385</v>
      </c>
      <c r="D80" s="18">
        <v>169.8</v>
      </c>
      <c r="F80" s="56">
        <v>0</v>
      </c>
      <c r="H80" s="18">
        <f t="shared" si="4"/>
        <v>0</v>
      </c>
      <c r="J80" s="61">
        <v>14084.41</v>
      </c>
      <c r="N80" s="1">
        <f t="shared" si="6"/>
        <v>0</v>
      </c>
      <c r="P80" s="4">
        <f t="shared" si="5"/>
        <v>0</v>
      </c>
      <c r="Q80" s="22"/>
      <c r="R80" s="48">
        <v>5</v>
      </c>
      <c r="S80" s="61">
        <v>14084.41</v>
      </c>
      <c r="T80" s="4">
        <f t="shared" si="7"/>
        <v>70422.05</v>
      </c>
      <c r="V80" s="39"/>
      <c r="W80" s="1"/>
      <c r="X80" s="1"/>
    </row>
    <row r="81" spans="1:24" ht="12.75">
      <c r="A81" t="s">
        <v>114</v>
      </c>
      <c r="B81" t="s">
        <v>115</v>
      </c>
      <c r="C81" s="59" t="s">
        <v>386</v>
      </c>
      <c r="D81" s="18">
        <v>80657.2</v>
      </c>
      <c r="F81" s="56">
        <v>7516.8</v>
      </c>
      <c r="H81" s="18">
        <f t="shared" si="4"/>
        <v>7516.8</v>
      </c>
      <c r="J81" s="61">
        <v>7930.35</v>
      </c>
      <c r="L81" s="1">
        <v>7019.71</v>
      </c>
      <c r="N81" s="1">
        <f t="shared" si="6"/>
        <v>59610854.88</v>
      </c>
      <c r="O81" s="1">
        <f>G81*L81</f>
        <v>0</v>
      </c>
      <c r="P81" s="4">
        <f t="shared" si="5"/>
        <v>59610854.88</v>
      </c>
      <c r="Q81" s="22"/>
      <c r="R81" s="48">
        <v>787.5</v>
      </c>
      <c r="S81" s="61">
        <v>7930.35</v>
      </c>
      <c r="T81" s="4">
        <f t="shared" si="7"/>
        <v>6245150.625</v>
      </c>
      <c r="V81" s="39"/>
      <c r="W81" s="1"/>
      <c r="X81" s="1"/>
    </row>
    <row r="82" spans="1:24" ht="12.75">
      <c r="A82" t="s">
        <v>116</v>
      </c>
      <c r="B82" t="s">
        <v>72</v>
      </c>
      <c r="C82" s="59" t="s">
        <v>387</v>
      </c>
      <c r="D82" s="18">
        <v>175.5</v>
      </c>
      <c r="F82" s="56">
        <v>0</v>
      </c>
      <c r="H82" s="18">
        <f t="shared" si="4"/>
        <v>0</v>
      </c>
      <c r="J82" s="61">
        <v>12900.79</v>
      </c>
      <c r="N82" s="1">
        <f t="shared" si="6"/>
        <v>0</v>
      </c>
      <c r="P82" s="4">
        <f t="shared" si="5"/>
        <v>0</v>
      </c>
      <c r="Q82" s="22"/>
      <c r="R82" s="48">
        <v>5.5</v>
      </c>
      <c r="S82" s="61">
        <v>12900.79</v>
      </c>
      <c r="T82" s="4">
        <f t="shared" si="7"/>
        <v>70954.345</v>
      </c>
      <c r="V82" s="39"/>
      <c r="W82" s="1"/>
      <c r="X82" s="1"/>
    </row>
    <row r="83" spans="1:24" ht="12.75">
      <c r="A83" t="s">
        <v>117</v>
      </c>
      <c r="B83" t="s">
        <v>72</v>
      </c>
      <c r="C83" s="59" t="s">
        <v>388</v>
      </c>
      <c r="D83" s="18">
        <v>56.3</v>
      </c>
      <c r="F83" s="56">
        <v>0</v>
      </c>
      <c r="H83" s="18">
        <f t="shared" si="4"/>
        <v>0</v>
      </c>
      <c r="J83" s="61">
        <v>15967.65</v>
      </c>
      <c r="N83" s="1">
        <f t="shared" si="6"/>
        <v>0</v>
      </c>
      <c r="P83" s="4">
        <f t="shared" si="5"/>
        <v>0</v>
      </c>
      <c r="Q83" s="22"/>
      <c r="R83" s="48">
        <v>3.5</v>
      </c>
      <c r="S83" s="61">
        <v>15967.65</v>
      </c>
      <c r="T83" s="4">
        <f t="shared" si="7"/>
        <v>55886.775</v>
      </c>
      <c r="V83" s="39"/>
      <c r="W83" s="1"/>
      <c r="X83" s="1"/>
    </row>
    <row r="84" spans="1:24" ht="12.75">
      <c r="A84" t="s">
        <v>118</v>
      </c>
      <c r="B84" t="s">
        <v>44</v>
      </c>
      <c r="C84" s="59" t="s">
        <v>389</v>
      </c>
      <c r="D84" s="18">
        <v>161.1</v>
      </c>
      <c r="F84" s="56">
        <v>0</v>
      </c>
      <c r="H84" s="18">
        <f t="shared" si="4"/>
        <v>0</v>
      </c>
      <c r="J84" s="61">
        <v>13434.99</v>
      </c>
      <c r="N84" s="1">
        <f t="shared" si="6"/>
        <v>0</v>
      </c>
      <c r="P84" s="4">
        <f t="shared" si="5"/>
        <v>0</v>
      </c>
      <c r="Q84" s="22"/>
      <c r="R84" s="48">
        <v>2</v>
      </c>
      <c r="S84" s="61">
        <v>13434.99</v>
      </c>
      <c r="T84" s="4">
        <f t="shared" si="7"/>
        <v>26869.98</v>
      </c>
      <c r="V84" s="39"/>
      <c r="W84" s="1"/>
      <c r="X84" s="1"/>
    </row>
    <row r="85" spans="1:24" ht="12.75">
      <c r="A85" t="s">
        <v>119</v>
      </c>
      <c r="B85" t="s">
        <v>44</v>
      </c>
      <c r="C85" s="59" t="s">
        <v>390</v>
      </c>
      <c r="D85" s="18">
        <v>115.6</v>
      </c>
      <c r="F85" s="56">
        <v>0</v>
      </c>
      <c r="H85" s="18">
        <f t="shared" si="4"/>
        <v>0</v>
      </c>
      <c r="J85" s="61">
        <v>14242.7</v>
      </c>
      <c r="N85" s="1">
        <f t="shared" si="6"/>
        <v>0</v>
      </c>
      <c r="P85" s="4">
        <f t="shared" si="5"/>
        <v>0</v>
      </c>
      <c r="Q85" s="22"/>
      <c r="R85" s="48">
        <v>3</v>
      </c>
      <c r="S85" s="61">
        <v>14242.7</v>
      </c>
      <c r="T85" s="4">
        <f t="shared" si="7"/>
        <v>42728.100000000006</v>
      </c>
      <c r="V85" s="39"/>
      <c r="W85" s="1"/>
      <c r="X85" s="1"/>
    </row>
    <row r="86" spans="1:24" ht="12.75">
      <c r="A86" t="s">
        <v>120</v>
      </c>
      <c r="B86" t="s">
        <v>44</v>
      </c>
      <c r="C86" s="59" t="s">
        <v>391</v>
      </c>
      <c r="D86" s="18">
        <v>215.9</v>
      </c>
      <c r="F86" s="56">
        <v>0</v>
      </c>
      <c r="H86" s="18">
        <f t="shared" si="4"/>
        <v>0</v>
      </c>
      <c r="J86" s="61">
        <v>12074.56</v>
      </c>
      <c r="N86" s="1">
        <f t="shared" si="6"/>
        <v>0</v>
      </c>
      <c r="P86" s="4">
        <f t="shared" si="5"/>
        <v>0</v>
      </c>
      <c r="Q86" s="22"/>
      <c r="R86" s="48">
        <v>7</v>
      </c>
      <c r="S86" s="61">
        <v>12074.56</v>
      </c>
      <c r="T86" s="4">
        <f t="shared" si="7"/>
        <v>84521.92</v>
      </c>
      <c r="V86" s="39"/>
      <c r="W86" s="1"/>
      <c r="X86" s="1"/>
    </row>
    <row r="87" spans="1:24" ht="12.75">
      <c r="A87" t="s">
        <v>121</v>
      </c>
      <c r="B87" t="s">
        <v>44</v>
      </c>
      <c r="C87" s="59" t="s">
        <v>392</v>
      </c>
      <c r="D87" s="18">
        <v>105.39999999999999</v>
      </c>
      <c r="F87" s="56">
        <v>0</v>
      </c>
      <c r="H87" s="18">
        <f t="shared" si="4"/>
        <v>0</v>
      </c>
      <c r="J87" s="61">
        <v>15215.05</v>
      </c>
      <c r="N87" s="1">
        <f t="shared" si="6"/>
        <v>0</v>
      </c>
      <c r="P87" s="4">
        <f t="shared" si="5"/>
        <v>0</v>
      </c>
      <c r="Q87" s="22"/>
      <c r="R87" s="48">
        <v>4</v>
      </c>
      <c r="S87" s="61">
        <v>15215.05</v>
      </c>
      <c r="T87" s="4">
        <f t="shared" si="7"/>
        <v>60860.2</v>
      </c>
      <c r="V87" s="39"/>
      <c r="W87" s="1"/>
      <c r="X87" s="1"/>
    </row>
    <row r="88" spans="1:24" ht="12.75">
      <c r="A88" t="s">
        <v>122</v>
      </c>
      <c r="B88" t="s">
        <v>44</v>
      </c>
      <c r="C88" s="59" t="s">
        <v>393</v>
      </c>
      <c r="D88" s="18">
        <v>720.1999999999999</v>
      </c>
      <c r="F88" s="56">
        <v>0</v>
      </c>
      <c r="H88" s="18">
        <f t="shared" si="4"/>
        <v>0</v>
      </c>
      <c r="J88" s="61">
        <v>8420.62</v>
      </c>
      <c r="N88" s="1">
        <f t="shared" si="6"/>
        <v>0</v>
      </c>
      <c r="P88" s="4">
        <f t="shared" si="5"/>
        <v>0</v>
      </c>
      <c r="Q88" s="22"/>
      <c r="R88" s="48">
        <v>15</v>
      </c>
      <c r="S88" s="61">
        <v>8420.62</v>
      </c>
      <c r="T88" s="4">
        <f t="shared" si="7"/>
        <v>126309.30000000002</v>
      </c>
      <c r="V88" s="39"/>
      <c r="W88" s="1"/>
      <c r="X88" s="1"/>
    </row>
    <row r="89" spans="1:24" ht="12.75">
      <c r="A89" t="s">
        <v>123</v>
      </c>
      <c r="B89" t="s">
        <v>124</v>
      </c>
      <c r="C89" s="59" t="s">
        <v>394</v>
      </c>
      <c r="D89" s="18">
        <v>978</v>
      </c>
      <c r="F89" s="56">
        <v>0</v>
      </c>
      <c r="H89" s="18">
        <f t="shared" si="4"/>
        <v>0</v>
      </c>
      <c r="J89" s="61">
        <v>8497.87</v>
      </c>
      <c r="N89" s="1">
        <f t="shared" si="6"/>
        <v>0</v>
      </c>
      <c r="P89" s="4">
        <f t="shared" si="5"/>
        <v>0</v>
      </c>
      <c r="Q89" s="22"/>
      <c r="R89" s="48">
        <v>37.5</v>
      </c>
      <c r="S89" s="61">
        <v>8497.87</v>
      </c>
      <c r="T89" s="4">
        <f t="shared" si="7"/>
        <v>318670.12500000006</v>
      </c>
      <c r="V89" s="39"/>
      <c r="W89" s="1"/>
      <c r="X89" s="1"/>
    </row>
    <row r="90" spans="1:24" ht="12.75">
      <c r="A90" t="s">
        <v>125</v>
      </c>
      <c r="B90" t="s">
        <v>126</v>
      </c>
      <c r="C90" s="59" t="s">
        <v>395</v>
      </c>
      <c r="D90" s="18">
        <v>5173.3</v>
      </c>
      <c r="F90" s="56">
        <v>121.6</v>
      </c>
      <c r="H90" s="18">
        <f t="shared" si="4"/>
        <v>121.6</v>
      </c>
      <c r="J90" s="61">
        <v>7964.04</v>
      </c>
      <c r="N90" s="1">
        <f t="shared" si="6"/>
        <v>968427.264</v>
      </c>
      <c r="P90" s="4">
        <f t="shared" si="5"/>
        <v>968427.264</v>
      </c>
      <c r="Q90" s="22"/>
      <c r="R90" s="48">
        <v>119</v>
      </c>
      <c r="S90" s="61">
        <v>7964.04</v>
      </c>
      <c r="T90" s="4">
        <f t="shared" si="7"/>
        <v>947720.76</v>
      </c>
      <c r="V90" s="39"/>
      <c r="W90" s="1"/>
      <c r="X90" s="1"/>
    </row>
    <row r="91" spans="1:24" ht="12.75">
      <c r="A91" t="s">
        <v>127</v>
      </c>
      <c r="B91" t="s">
        <v>126</v>
      </c>
      <c r="C91" s="59" t="s">
        <v>396</v>
      </c>
      <c r="D91" s="18">
        <v>1358.6</v>
      </c>
      <c r="F91" s="56">
        <v>0</v>
      </c>
      <c r="H91" s="18">
        <f t="shared" si="4"/>
        <v>0</v>
      </c>
      <c r="J91" s="61">
        <v>8404.04</v>
      </c>
      <c r="N91" s="1">
        <f t="shared" si="6"/>
        <v>0</v>
      </c>
      <c r="P91" s="4">
        <f t="shared" si="5"/>
        <v>0</v>
      </c>
      <c r="Q91" s="22"/>
      <c r="R91" s="48">
        <v>18</v>
      </c>
      <c r="S91" s="61">
        <v>8404.04</v>
      </c>
      <c r="T91" s="4">
        <f t="shared" si="7"/>
        <v>151272.72000000003</v>
      </c>
      <c r="V91" s="39"/>
      <c r="W91" s="1"/>
      <c r="X91" s="1"/>
    </row>
    <row r="92" spans="1:24" ht="12.75">
      <c r="A92" t="s">
        <v>128</v>
      </c>
      <c r="B92" t="s">
        <v>126</v>
      </c>
      <c r="C92" s="59" t="s">
        <v>397</v>
      </c>
      <c r="D92" s="18">
        <v>835.8</v>
      </c>
      <c r="F92" s="56">
        <v>0</v>
      </c>
      <c r="H92" s="18">
        <f t="shared" si="4"/>
        <v>0</v>
      </c>
      <c r="J92" s="61">
        <v>9185.48</v>
      </c>
      <c r="N92" s="1">
        <f t="shared" si="6"/>
        <v>0</v>
      </c>
      <c r="P92" s="4">
        <f t="shared" si="5"/>
        <v>0</v>
      </c>
      <c r="Q92" s="22"/>
      <c r="R92" s="48">
        <v>21</v>
      </c>
      <c r="S92" s="61">
        <v>9185.48</v>
      </c>
      <c r="T92" s="4">
        <f t="shared" si="7"/>
        <v>192895.08</v>
      </c>
      <c r="V92" s="39"/>
      <c r="W92" s="1"/>
      <c r="X92" s="1"/>
    </row>
    <row r="93" spans="1:24" ht="12.75">
      <c r="A93" t="s">
        <v>129</v>
      </c>
      <c r="B93" t="s">
        <v>130</v>
      </c>
      <c r="C93" s="59" t="s">
        <v>398</v>
      </c>
      <c r="D93" s="18">
        <v>28801</v>
      </c>
      <c r="F93" s="56">
        <v>2297.8</v>
      </c>
      <c r="H93" s="18">
        <f t="shared" si="4"/>
        <v>2297.8</v>
      </c>
      <c r="J93" s="61">
        <v>7711.31</v>
      </c>
      <c r="N93" s="1">
        <f t="shared" si="6"/>
        <v>17719048.118</v>
      </c>
      <c r="P93" s="4">
        <f t="shared" si="5"/>
        <v>17719048.118</v>
      </c>
      <c r="Q93" s="22"/>
      <c r="R93" s="48">
        <v>151</v>
      </c>
      <c r="S93" s="61">
        <v>7711.31</v>
      </c>
      <c r="T93" s="4">
        <f t="shared" si="7"/>
        <v>1164407.81</v>
      </c>
      <c r="V93" s="39"/>
      <c r="W93" s="1"/>
      <c r="X93" s="1"/>
    </row>
    <row r="94" spans="1:24" ht="12.75">
      <c r="A94" t="s">
        <v>131</v>
      </c>
      <c r="B94" t="s">
        <v>130</v>
      </c>
      <c r="C94" s="59" t="s">
        <v>399</v>
      </c>
      <c r="D94" s="18">
        <v>15194.5</v>
      </c>
      <c r="F94" s="56">
        <v>1316.5</v>
      </c>
      <c r="H94" s="18">
        <f t="shared" si="4"/>
        <v>1316.5</v>
      </c>
      <c r="J94" s="61">
        <v>7713.33</v>
      </c>
      <c r="N94" s="1">
        <f t="shared" si="6"/>
        <v>10154598.945</v>
      </c>
      <c r="P94" s="4">
        <f t="shared" si="5"/>
        <v>10154598.945</v>
      </c>
      <c r="Q94" s="22"/>
      <c r="R94" s="48">
        <v>126</v>
      </c>
      <c r="S94" s="61">
        <v>7713.33</v>
      </c>
      <c r="T94" s="4">
        <f t="shared" si="7"/>
        <v>971879.58</v>
      </c>
      <c r="V94" s="39"/>
      <c r="W94" s="1"/>
      <c r="X94" s="1"/>
    </row>
    <row r="95" spans="1:24" ht="12.75">
      <c r="A95" t="s">
        <v>132</v>
      </c>
      <c r="B95" t="s">
        <v>130</v>
      </c>
      <c r="C95" s="59" t="s">
        <v>400</v>
      </c>
      <c r="D95" s="18">
        <v>1064.3</v>
      </c>
      <c r="F95" s="56">
        <v>0</v>
      </c>
      <c r="H95" s="18">
        <f t="shared" si="4"/>
        <v>0</v>
      </c>
      <c r="J95" s="61">
        <v>8467.42</v>
      </c>
      <c r="N95" s="1">
        <f t="shared" si="6"/>
        <v>0</v>
      </c>
      <c r="P95" s="4">
        <f t="shared" si="5"/>
        <v>0</v>
      </c>
      <c r="Q95" s="22"/>
      <c r="R95" s="48">
        <v>13</v>
      </c>
      <c r="S95" s="61">
        <v>8467.42</v>
      </c>
      <c r="T95" s="4">
        <f t="shared" si="7"/>
        <v>110076.46</v>
      </c>
      <c r="V95" s="39"/>
      <c r="W95" s="1"/>
      <c r="X95" s="1"/>
    </row>
    <row r="96" spans="1:24" ht="12.75">
      <c r="A96" t="s">
        <v>133</v>
      </c>
      <c r="B96" t="s">
        <v>34</v>
      </c>
      <c r="C96" s="59" t="s">
        <v>401</v>
      </c>
      <c r="D96" s="18">
        <v>1025.3</v>
      </c>
      <c r="F96" s="56">
        <v>0</v>
      </c>
      <c r="H96" s="18">
        <f t="shared" si="4"/>
        <v>0</v>
      </c>
      <c r="J96" s="61">
        <v>8613.47</v>
      </c>
      <c r="N96" s="1">
        <f t="shared" si="6"/>
        <v>0</v>
      </c>
      <c r="P96" s="4">
        <f t="shared" si="5"/>
        <v>0</v>
      </c>
      <c r="Q96" s="22"/>
      <c r="R96" s="48">
        <v>52.5</v>
      </c>
      <c r="S96" s="61">
        <v>8613.47</v>
      </c>
      <c r="T96" s="4">
        <f t="shared" si="7"/>
        <v>452207.175</v>
      </c>
      <c r="V96" s="39"/>
      <c r="W96" s="1"/>
      <c r="X96" s="1"/>
    </row>
    <row r="97" spans="1:24" ht="12.75">
      <c r="A97" t="s">
        <v>134</v>
      </c>
      <c r="B97" t="s">
        <v>34</v>
      </c>
      <c r="C97" s="59" t="s">
        <v>402</v>
      </c>
      <c r="D97" s="18">
        <v>180.7</v>
      </c>
      <c r="F97" s="56">
        <v>0</v>
      </c>
      <c r="H97" s="18">
        <f t="shared" si="4"/>
        <v>0</v>
      </c>
      <c r="J97" s="61">
        <v>13481.02</v>
      </c>
      <c r="N97" s="1">
        <f t="shared" si="6"/>
        <v>0</v>
      </c>
      <c r="P97" s="4">
        <f t="shared" si="5"/>
        <v>0</v>
      </c>
      <c r="Q97" s="22"/>
      <c r="R97" s="48">
        <v>3.5</v>
      </c>
      <c r="S97" s="61">
        <v>13481.02</v>
      </c>
      <c r="T97" s="4">
        <f t="shared" si="7"/>
        <v>47183.57</v>
      </c>
      <c r="V97" s="39"/>
      <c r="W97" s="1"/>
      <c r="X97" s="1"/>
    </row>
    <row r="98" spans="1:24" ht="12.75">
      <c r="A98" t="s">
        <v>135</v>
      </c>
      <c r="B98" t="s">
        <v>34</v>
      </c>
      <c r="C98" s="59" t="s">
        <v>403</v>
      </c>
      <c r="D98" s="18">
        <v>367</v>
      </c>
      <c r="F98" s="56">
        <v>0</v>
      </c>
      <c r="H98" s="18">
        <f t="shared" si="4"/>
        <v>0</v>
      </c>
      <c r="J98" s="61">
        <v>9779.26</v>
      </c>
      <c r="N98" s="1">
        <f t="shared" si="6"/>
        <v>0</v>
      </c>
      <c r="P98" s="4">
        <f t="shared" si="5"/>
        <v>0</v>
      </c>
      <c r="Q98" s="22"/>
      <c r="R98" s="48">
        <v>8</v>
      </c>
      <c r="S98" s="61">
        <v>9779.26</v>
      </c>
      <c r="T98" s="4">
        <f t="shared" si="7"/>
        <v>78234.08</v>
      </c>
      <c r="V98" s="39"/>
      <c r="W98" s="1"/>
      <c r="X98" s="1"/>
    </row>
    <row r="99" spans="1:24" ht="12.75">
      <c r="A99" t="s">
        <v>136</v>
      </c>
      <c r="B99" t="s">
        <v>34</v>
      </c>
      <c r="C99" s="59" t="s">
        <v>404</v>
      </c>
      <c r="D99" s="18">
        <v>110.7</v>
      </c>
      <c r="F99" s="56">
        <v>0</v>
      </c>
      <c r="H99" s="18">
        <f t="shared" si="4"/>
        <v>0</v>
      </c>
      <c r="J99" s="61">
        <v>15035.05</v>
      </c>
      <c r="N99" s="1">
        <f t="shared" si="6"/>
        <v>0</v>
      </c>
      <c r="P99" s="4">
        <f t="shared" si="5"/>
        <v>0</v>
      </c>
      <c r="Q99" s="22"/>
      <c r="R99" s="48">
        <v>4.5</v>
      </c>
      <c r="S99" s="61">
        <v>15035.05</v>
      </c>
      <c r="T99" s="4">
        <f t="shared" si="7"/>
        <v>67657.72499999999</v>
      </c>
      <c r="V99" s="39"/>
      <c r="W99" s="1"/>
      <c r="X99" s="1"/>
    </row>
    <row r="100" spans="1:24" ht="12.75">
      <c r="A100" t="s">
        <v>137</v>
      </c>
      <c r="B100" t="s">
        <v>34</v>
      </c>
      <c r="C100" s="59" t="s">
        <v>405</v>
      </c>
      <c r="D100" s="18">
        <v>458.9</v>
      </c>
      <c r="F100" s="56">
        <v>0</v>
      </c>
      <c r="H100" s="18">
        <f t="shared" si="4"/>
        <v>0</v>
      </c>
      <c r="J100" s="61">
        <v>7646.07</v>
      </c>
      <c r="N100" s="1">
        <f t="shared" si="6"/>
        <v>0</v>
      </c>
      <c r="P100" s="4">
        <f t="shared" si="5"/>
        <v>0</v>
      </c>
      <c r="Q100" s="22"/>
      <c r="R100" s="48">
        <v>0</v>
      </c>
      <c r="S100" s="61">
        <v>7646.07</v>
      </c>
      <c r="T100" s="4">
        <f t="shared" si="7"/>
        <v>0</v>
      </c>
      <c r="V100" s="39"/>
      <c r="W100" s="1"/>
      <c r="X100" s="1"/>
    </row>
    <row r="101" spans="1:24" ht="12.75">
      <c r="A101" t="s">
        <v>138</v>
      </c>
      <c r="B101" t="s">
        <v>34</v>
      </c>
      <c r="C101" s="59" t="s">
        <v>406</v>
      </c>
      <c r="D101" s="18">
        <v>50</v>
      </c>
      <c r="F101" s="56">
        <v>0</v>
      </c>
      <c r="H101" s="18">
        <f t="shared" si="4"/>
        <v>0</v>
      </c>
      <c r="J101" s="61">
        <v>15649.92</v>
      </c>
      <c r="N101" s="1">
        <f t="shared" si="6"/>
        <v>0</v>
      </c>
      <c r="P101" s="4">
        <f t="shared" si="5"/>
        <v>0</v>
      </c>
      <c r="Q101" s="22"/>
      <c r="R101" s="48">
        <v>1.5</v>
      </c>
      <c r="S101" s="61">
        <v>15649.92</v>
      </c>
      <c r="T101" s="4">
        <f t="shared" si="7"/>
        <v>23474.88</v>
      </c>
      <c r="V101" s="39"/>
      <c r="W101" s="1"/>
      <c r="X101" s="1"/>
    </row>
    <row r="102" spans="1:24" ht="12.75">
      <c r="A102" t="s">
        <v>139</v>
      </c>
      <c r="B102" t="s">
        <v>140</v>
      </c>
      <c r="C102" s="59" t="s">
        <v>407</v>
      </c>
      <c r="D102" s="18">
        <v>184.9</v>
      </c>
      <c r="F102" s="56">
        <v>0</v>
      </c>
      <c r="H102" s="18">
        <f t="shared" si="4"/>
        <v>0</v>
      </c>
      <c r="J102" s="61">
        <v>13270.65</v>
      </c>
      <c r="N102" s="1">
        <f t="shared" si="6"/>
        <v>0</v>
      </c>
      <c r="P102" s="4">
        <f t="shared" si="5"/>
        <v>0</v>
      </c>
      <c r="Q102" s="22"/>
      <c r="R102" s="48">
        <v>2.5</v>
      </c>
      <c r="S102" s="61">
        <v>13270.65</v>
      </c>
      <c r="T102" s="4">
        <f t="shared" si="7"/>
        <v>33176.625</v>
      </c>
      <c r="V102" s="39"/>
      <c r="W102" s="1"/>
      <c r="X102" s="1"/>
    </row>
    <row r="103" spans="1:24" ht="12.75">
      <c r="A103" t="s">
        <v>141</v>
      </c>
      <c r="B103" t="s">
        <v>140</v>
      </c>
      <c r="C103" s="59" t="s">
        <v>408</v>
      </c>
      <c r="D103" s="18">
        <v>482.1</v>
      </c>
      <c r="F103" s="56">
        <v>0</v>
      </c>
      <c r="H103" s="18">
        <f t="shared" si="4"/>
        <v>0</v>
      </c>
      <c r="J103" s="61">
        <v>8969.56</v>
      </c>
      <c r="N103" s="1">
        <f t="shared" si="6"/>
        <v>0</v>
      </c>
      <c r="P103" s="4">
        <f t="shared" si="5"/>
        <v>0</v>
      </c>
      <c r="Q103" s="22"/>
      <c r="R103" s="48">
        <v>10</v>
      </c>
      <c r="S103" s="61">
        <v>8969.56</v>
      </c>
      <c r="T103" s="4">
        <f t="shared" si="7"/>
        <v>89695.59999999999</v>
      </c>
      <c r="V103" s="39"/>
      <c r="W103" s="1"/>
      <c r="X103" s="1"/>
    </row>
    <row r="104" spans="1:24" ht="12.75">
      <c r="A104" t="s">
        <v>142</v>
      </c>
      <c r="B104" t="s">
        <v>140</v>
      </c>
      <c r="C104" s="59" t="s">
        <v>409</v>
      </c>
      <c r="D104" s="18">
        <v>50</v>
      </c>
      <c r="F104" s="56">
        <v>0</v>
      </c>
      <c r="H104" s="18">
        <f t="shared" si="4"/>
        <v>0</v>
      </c>
      <c r="J104" s="61">
        <v>16823.23</v>
      </c>
      <c r="N104" s="1">
        <f t="shared" si="6"/>
        <v>0</v>
      </c>
      <c r="P104" s="4">
        <f t="shared" si="5"/>
        <v>0</v>
      </c>
      <c r="Q104" s="22"/>
      <c r="R104" s="48">
        <v>1.5</v>
      </c>
      <c r="S104" s="61">
        <v>16823.23</v>
      </c>
      <c r="T104" s="4">
        <f t="shared" si="7"/>
        <v>25234.845</v>
      </c>
      <c r="V104" s="39"/>
      <c r="W104" s="1"/>
      <c r="X104" s="1"/>
    </row>
    <row r="105" spans="1:24" ht="12.75">
      <c r="A105" t="s">
        <v>143</v>
      </c>
      <c r="B105" t="s">
        <v>144</v>
      </c>
      <c r="C105" s="59" t="s">
        <v>410</v>
      </c>
      <c r="D105" s="18">
        <v>2120.6</v>
      </c>
      <c r="F105" s="56">
        <v>0</v>
      </c>
      <c r="H105" s="18">
        <f t="shared" si="4"/>
        <v>0</v>
      </c>
      <c r="J105" s="61">
        <v>7874.64</v>
      </c>
      <c r="N105" s="1">
        <f t="shared" si="6"/>
        <v>0</v>
      </c>
      <c r="P105" s="4">
        <f t="shared" si="5"/>
        <v>0</v>
      </c>
      <c r="Q105" s="22"/>
      <c r="R105" s="48">
        <v>60.5</v>
      </c>
      <c r="S105" s="61">
        <v>7874.64</v>
      </c>
      <c r="T105" s="4">
        <f t="shared" si="7"/>
        <v>476415.72000000003</v>
      </c>
      <c r="V105" s="39"/>
      <c r="W105" s="1"/>
      <c r="X105" s="1"/>
    </row>
    <row r="106" spans="1:24" ht="12.75">
      <c r="A106" t="s">
        <v>145</v>
      </c>
      <c r="B106" t="s">
        <v>144</v>
      </c>
      <c r="C106" s="59" t="s">
        <v>411</v>
      </c>
      <c r="D106" s="18">
        <v>182.3</v>
      </c>
      <c r="F106" s="56">
        <v>0</v>
      </c>
      <c r="H106" s="18">
        <f t="shared" si="4"/>
        <v>0</v>
      </c>
      <c r="J106" s="61">
        <v>13321.09</v>
      </c>
      <c r="N106" s="1">
        <f t="shared" si="6"/>
        <v>0</v>
      </c>
      <c r="P106" s="4">
        <f t="shared" si="5"/>
        <v>0</v>
      </c>
      <c r="Q106" s="22"/>
      <c r="R106" s="48">
        <v>5.5</v>
      </c>
      <c r="S106" s="61">
        <v>13321.09</v>
      </c>
      <c r="T106" s="4">
        <f t="shared" si="7"/>
        <v>73265.995</v>
      </c>
      <c r="V106" s="39"/>
      <c r="W106" s="1"/>
      <c r="X106" s="1"/>
    </row>
    <row r="107" spans="1:24" ht="12.75">
      <c r="A107" t="s">
        <v>146</v>
      </c>
      <c r="B107" t="s">
        <v>144</v>
      </c>
      <c r="C107" s="59" t="s">
        <v>412</v>
      </c>
      <c r="D107" s="18">
        <v>303.09999999999997</v>
      </c>
      <c r="F107" s="56">
        <v>0</v>
      </c>
      <c r="H107" s="18">
        <f t="shared" si="4"/>
        <v>0</v>
      </c>
      <c r="J107" s="61">
        <v>10717.51</v>
      </c>
      <c r="N107" s="1">
        <f t="shared" si="6"/>
        <v>0</v>
      </c>
      <c r="P107" s="4">
        <f t="shared" si="5"/>
        <v>0</v>
      </c>
      <c r="Q107" s="22"/>
      <c r="R107" s="48">
        <v>4</v>
      </c>
      <c r="S107" s="61">
        <v>10717.51</v>
      </c>
      <c r="T107" s="4">
        <f t="shared" si="7"/>
        <v>42870.04</v>
      </c>
      <c r="V107" s="39"/>
      <c r="W107" s="1"/>
      <c r="X107" s="1"/>
    </row>
    <row r="108" spans="1:24" ht="12.75">
      <c r="A108" t="s">
        <v>147</v>
      </c>
      <c r="B108" t="s">
        <v>144</v>
      </c>
      <c r="C108" s="59" t="s">
        <v>413</v>
      </c>
      <c r="D108" s="18">
        <v>154.79999999999998</v>
      </c>
      <c r="F108" s="56">
        <v>0</v>
      </c>
      <c r="H108" s="18">
        <f t="shared" si="4"/>
        <v>0</v>
      </c>
      <c r="J108" s="61">
        <v>14121.27</v>
      </c>
      <c r="N108" s="1">
        <f t="shared" si="6"/>
        <v>0</v>
      </c>
      <c r="P108" s="4">
        <f t="shared" si="5"/>
        <v>0</v>
      </c>
      <c r="Q108" s="22"/>
      <c r="R108" s="48">
        <v>2</v>
      </c>
      <c r="S108" s="61">
        <v>14121.27</v>
      </c>
      <c r="T108" s="4">
        <f t="shared" si="7"/>
        <v>28242.54</v>
      </c>
      <c r="V108" s="39"/>
      <c r="W108" s="1"/>
      <c r="X108" s="1"/>
    </row>
    <row r="109" spans="1:24" ht="12.75">
      <c r="A109" t="s">
        <v>148</v>
      </c>
      <c r="B109" t="s">
        <v>149</v>
      </c>
      <c r="C109" s="59" t="s">
        <v>414</v>
      </c>
      <c r="D109" s="18">
        <v>162.5</v>
      </c>
      <c r="F109" s="56">
        <v>0</v>
      </c>
      <c r="H109" s="18">
        <f t="shared" si="4"/>
        <v>0</v>
      </c>
      <c r="J109" s="61">
        <v>13826.22</v>
      </c>
      <c r="N109" s="1">
        <f t="shared" si="6"/>
        <v>0</v>
      </c>
      <c r="P109" s="4">
        <f t="shared" si="5"/>
        <v>0</v>
      </c>
      <c r="Q109" s="22"/>
      <c r="R109" s="48">
        <v>6</v>
      </c>
      <c r="S109" s="61">
        <v>13826.22</v>
      </c>
      <c r="T109" s="4">
        <f t="shared" si="7"/>
        <v>82957.31999999999</v>
      </c>
      <c r="V109" s="39"/>
      <c r="W109" s="1"/>
      <c r="X109" s="1"/>
    </row>
    <row r="110" spans="1:24" ht="12.75">
      <c r="A110" t="s">
        <v>150</v>
      </c>
      <c r="B110" t="s">
        <v>149</v>
      </c>
      <c r="C110" s="59" t="s">
        <v>415</v>
      </c>
      <c r="D110" s="18">
        <v>437.7</v>
      </c>
      <c r="F110" s="56">
        <v>0</v>
      </c>
      <c r="H110" s="18">
        <f t="shared" si="4"/>
        <v>0</v>
      </c>
      <c r="J110" s="61">
        <v>9147.79</v>
      </c>
      <c r="N110" s="1">
        <f t="shared" si="6"/>
        <v>0</v>
      </c>
      <c r="P110" s="4">
        <f t="shared" si="5"/>
        <v>0</v>
      </c>
      <c r="Q110" s="22"/>
      <c r="R110" s="48">
        <v>12</v>
      </c>
      <c r="S110" s="61">
        <v>9147.79</v>
      </c>
      <c r="T110" s="4">
        <f t="shared" si="7"/>
        <v>109773.48000000001</v>
      </c>
      <c r="V110" s="39"/>
      <c r="W110" s="1"/>
      <c r="X110" s="1"/>
    </row>
    <row r="111" spans="1:24" ht="12.75">
      <c r="A111" t="s">
        <v>151</v>
      </c>
      <c r="B111" t="s">
        <v>149</v>
      </c>
      <c r="C111" s="59" t="s">
        <v>416</v>
      </c>
      <c r="D111" s="18">
        <v>21079.8</v>
      </c>
      <c r="F111" s="56">
        <v>1068.2</v>
      </c>
      <c r="H111" s="18">
        <f t="shared" si="4"/>
        <v>1068.2</v>
      </c>
      <c r="J111" s="61">
        <v>7713.59</v>
      </c>
      <c r="N111" s="1">
        <f t="shared" si="6"/>
        <v>8239656.838</v>
      </c>
      <c r="P111" s="4">
        <f t="shared" si="5"/>
        <v>8239656.838</v>
      </c>
      <c r="Q111" s="22"/>
      <c r="R111" s="48">
        <v>417</v>
      </c>
      <c r="S111" s="61">
        <v>7713.59</v>
      </c>
      <c r="T111" s="4">
        <f t="shared" si="7"/>
        <v>3216567.0300000003</v>
      </c>
      <c r="V111" s="39"/>
      <c r="W111" s="1"/>
      <c r="X111" s="1"/>
    </row>
    <row r="112" spans="1:24" ht="12.75">
      <c r="A112" t="s">
        <v>152</v>
      </c>
      <c r="B112" t="s">
        <v>153</v>
      </c>
      <c r="C112" s="59" t="s">
        <v>417</v>
      </c>
      <c r="D112" s="18">
        <v>93</v>
      </c>
      <c r="F112" s="56">
        <v>0</v>
      </c>
      <c r="H112" s="18">
        <f t="shared" si="4"/>
        <v>0</v>
      </c>
      <c r="J112" s="61">
        <v>16048.29</v>
      </c>
      <c r="N112" s="1">
        <f t="shared" si="6"/>
        <v>0</v>
      </c>
      <c r="P112" s="4">
        <f t="shared" si="5"/>
        <v>0</v>
      </c>
      <c r="Q112" s="22"/>
      <c r="R112" s="48">
        <v>3</v>
      </c>
      <c r="S112" s="61">
        <v>16048.29</v>
      </c>
      <c r="T112" s="4">
        <f t="shared" si="7"/>
        <v>48144.87</v>
      </c>
      <c r="V112" s="39"/>
      <c r="W112" s="1"/>
      <c r="X112" s="1"/>
    </row>
    <row r="113" spans="1:24" ht="12.75">
      <c r="A113" t="s">
        <v>154</v>
      </c>
      <c r="B113" t="s">
        <v>155</v>
      </c>
      <c r="C113" s="59" t="s">
        <v>418</v>
      </c>
      <c r="D113" s="18">
        <v>2106.1</v>
      </c>
      <c r="F113" s="56">
        <v>0</v>
      </c>
      <c r="H113" s="18">
        <f t="shared" si="4"/>
        <v>0</v>
      </c>
      <c r="J113" s="61">
        <v>7713.84</v>
      </c>
      <c r="N113" s="1">
        <f t="shared" si="6"/>
        <v>0</v>
      </c>
      <c r="P113" s="4">
        <f t="shared" si="5"/>
        <v>0</v>
      </c>
      <c r="Q113" s="22"/>
      <c r="R113" s="48">
        <v>86</v>
      </c>
      <c r="S113" s="61">
        <v>7713.84</v>
      </c>
      <c r="T113" s="4">
        <f t="shared" si="7"/>
        <v>663390.24</v>
      </c>
      <c r="V113" s="39"/>
      <c r="W113" s="1"/>
      <c r="X113" s="1"/>
    </row>
    <row r="114" spans="1:24" ht="12.75">
      <c r="A114" t="s">
        <v>156</v>
      </c>
      <c r="B114" t="s">
        <v>157</v>
      </c>
      <c r="C114" s="59" t="s">
        <v>419</v>
      </c>
      <c r="D114" s="18">
        <v>2698.5</v>
      </c>
      <c r="F114" s="56">
        <v>294</v>
      </c>
      <c r="H114" s="18">
        <f t="shared" si="4"/>
        <v>294</v>
      </c>
      <c r="J114" s="61">
        <v>7864.56</v>
      </c>
      <c r="N114" s="1">
        <f t="shared" si="6"/>
        <v>2312180.64</v>
      </c>
      <c r="P114" s="4">
        <f t="shared" si="5"/>
        <v>2312180.64</v>
      </c>
      <c r="Q114" s="22"/>
      <c r="R114" s="48">
        <v>98</v>
      </c>
      <c r="S114" s="61">
        <v>7864.56</v>
      </c>
      <c r="T114" s="4">
        <f t="shared" si="7"/>
        <v>770726.88</v>
      </c>
      <c r="V114" s="39"/>
      <c r="W114" s="1"/>
      <c r="X114" s="1"/>
    </row>
    <row r="115" spans="1:24" ht="12.75">
      <c r="A115" t="s">
        <v>158</v>
      </c>
      <c r="B115" t="s">
        <v>157</v>
      </c>
      <c r="C115" s="59" t="s">
        <v>420</v>
      </c>
      <c r="D115" s="18">
        <v>686.3000000000001</v>
      </c>
      <c r="F115" s="56">
        <v>0</v>
      </c>
      <c r="H115" s="18">
        <f t="shared" si="4"/>
        <v>0</v>
      </c>
      <c r="J115" s="61">
        <v>8724.83</v>
      </c>
      <c r="N115" s="1">
        <f t="shared" si="6"/>
        <v>0</v>
      </c>
      <c r="P115" s="4">
        <f t="shared" si="5"/>
        <v>0</v>
      </c>
      <c r="Q115" s="22"/>
      <c r="R115" s="48">
        <v>10.5</v>
      </c>
      <c r="S115" s="61">
        <v>8724.83</v>
      </c>
      <c r="T115" s="4">
        <f t="shared" si="7"/>
        <v>91610.715</v>
      </c>
      <c r="V115" s="39"/>
      <c r="W115" s="1"/>
      <c r="X115" s="1"/>
    </row>
    <row r="116" spans="1:24" ht="12.75">
      <c r="A116" t="s">
        <v>159</v>
      </c>
      <c r="B116" t="s">
        <v>157</v>
      </c>
      <c r="C116" s="59" t="s">
        <v>421</v>
      </c>
      <c r="D116" s="18">
        <v>457.5</v>
      </c>
      <c r="F116" s="56">
        <v>0</v>
      </c>
      <c r="H116" s="18">
        <f t="shared" si="4"/>
        <v>0</v>
      </c>
      <c r="J116" s="61">
        <v>9049.91</v>
      </c>
      <c r="N116" s="1">
        <f t="shared" si="6"/>
        <v>0</v>
      </c>
      <c r="P116" s="4">
        <f t="shared" si="5"/>
        <v>0</v>
      </c>
      <c r="Q116" s="22"/>
      <c r="R116" s="48">
        <v>14.5</v>
      </c>
      <c r="S116" s="61">
        <v>9049.91</v>
      </c>
      <c r="T116" s="4">
        <f t="shared" si="7"/>
        <v>131223.695</v>
      </c>
      <c r="V116" s="39"/>
      <c r="W116" s="1"/>
      <c r="X116" s="1"/>
    </row>
    <row r="117" spans="1:24" ht="12.75">
      <c r="A117" t="s">
        <v>160</v>
      </c>
      <c r="B117" t="s">
        <v>161</v>
      </c>
      <c r="C117" s="59" t="s">
        <v>422</v>
      </c>
      <c r="D117" s="18">
        <v>5868.1</v>
      </c>
      <c r="F117" s="56">
        <v>196</v>
      </c>
      <c r="H117" s="18">
        <f t="shared" si="4"/>
        <v>196</v>
      </c>
      <c r="J117" s="61">
        <v>8098.84</v>
      </c>
      <c r="N117" s="1">
        <f t="shared" si="6"/>
        <v>1587372.6400000001</v>
      </c>
      <c r="P117" s="4">
        <f t="shared" si="5"/>
        <v>1587372.6400000001</v>
      </c>
      <c r="Q117" s="22"/>
      <c r="R117" s="48">
        <v>138.5</v>
      </c>
      <c r="S117" s="61">
        <v>8098.84</v>
      </c>
      <c r="T117" s="4">
        <f t="shared" si="7"/>
        <v>1121689.34</v>
      </c>
      <c r="V117" s="39"/>
      <c r="W117" s="1"/>
      <c r="X117" s="1"/>
    </row>
    <row r="118" spans="1:24" ht="12.75">
      <c r="A118" t="s">
        <v>162</v>
      </c>
      <c r="B118" t="s">
        <v>161</v>
      </c>
      <c r="C118" s="59" t="s">
        <v>423</v>
      </c>
      <c r="D118" s="18">
        <v>267.9</v>
      </c>
      <c r="F118" s="56">
        <v>43.5</v>
      </c>
      <c r="H118" s="18">
        <f t="shared" si="4"/>
        <v>43.5</v>
      </c>
      <c r="J118" s="61">
        <v>12801.16</v>
      </c>
      <c r="N118" s="1">
        <f t="shared" si="6"/>
        <v>556850.46</v>
      </c>
      <c r="P118" s="4">
        <f t="shared" si="5"/>
        <v>556850.46</v>
      </c>
      <c r="Q118" s="22"/>
      <c r="R118" s="48">
        <v>11.5</v>
      </c>
      <c r="S118" s="61">
        <v>12801.16</v>
      </c>
      <c r="T118" s="4">
        <f t="shared" si="7"/>
        <v>147213.34</v>
      </c>
      <c r="V118" s="39"/>
      <c r="W118" s="1"/>
      <c r="X118" s="1"/>
    </row>
    <row r="119" spans="1:24" ht="12.75">
      <c r="A119" t="s">
        <v>163</v>
      </c>
      <c r="B119" t="s">
        <v>164</v>
      </c>
      <c r="C119" s="59" t="s">
        <v>424</v>
      </c>
      <c r="D119" s="18">
        <v>1453.5</v>
      </c>
      <c r="F119" s="56">
        <v>0</v>
      </c>
      <c r="H119" s="18">
        <f t="shared" si="4"/>
        <v>0</v>
      </c>
      <c r="J119" s="61">
        <v>8388.75</v>
      </c>
      <c r="N119" s="1">
        <f t="shared" si="6"/>
        <v>0</v>
      </c>
      <c r="P119" s="4">
        <f t="shared" si="5"/>
        <v>0</v>
      </c>
      <c r="Q119" s="22"/>
      <c r="R119" s="48">
        <v>30</v>
      </c>
      <c r="S119" s="61">
        <v>8388.75</v>
      </c>
      <c r="T119" s="4">
        <f t="shared" si="7"/>
        <v>251662.5</v>
      </c>
      <c r="V119" s="39"/>
      <c r="W119" s="1"/>
      <c r="X119" s="1"/>
    </row>
    <row r="120" spans="1:24" ht="12.75">
      <c r="A120" t="s">
        <v>165</v>
      </c>
      <c r="B120" t="s">
        <v>164</v>
      </c>
      <c r="C120" s="59" t="s">
        <v>425</v>
      </c>
      <c r="D120" s="18">
        <v>3180</v>
      </c>
      <c r="F120" s="56">
        <v>0</v>
      </c>
      <c r="H120" s="18">
        <f t="shared" si="4"/>
        <v>0</v>
      </c>
      <c r="J120" s="61">
        <v>8178.79</v>
      </c>
      <c r="N120" s="1">
        <f t="shared" si="6"/>
        <v>0</v>
      </c>
      <c r="P120" s="4">
        <f t="shared" si="5"/>
        <v>0</v>
      </c>
      <c r="Q120" s="22"/>
      <c r="R120" s="48">
        <v>103.5</v>
      </c>
      <c r="S120" s="61">
        <v>8178.79</v>
      </c>
      <c r="T120" s="4">
        <f t="shared" si="7"/>
        <v>846504.765</v>
      </c>
      <c r="V120" s="39"/>
      <c r="W120" s="1"/>
      <c r="X120" s="1"/>
    </row>
    <row r="121" spans="1:24" ht="12.75">
      <c r="A121" t="s">
        <v>166</v>
      </c>
      <c r="B121" t="s">
        <v>164</v>
      </c>
      <c r="C121" s="59" t="s">
        <v>426</v>
      </c>
      <c r="D121" s="18">
        <v>209.3</v>
      </c>
      <c r="F121" s="56">
        <v>0</v>
      </c>
      <c r="H121" s="18">
        <f t="shared" si="4"/>
        <v>0</v>
      </c>
      <c r="J121" s="61">
        <v>13016.42</v>
      </c>
      <c r="N121" s="1">
        <f t="shared" si="6"/>
        <v>0</v>
      </c>
      <c r="P121" s="4">
        <f t="shared" si="5"/>
        <v>0</v>
      </c>
      <c r="Q121" s="22"/>
      <c r="R121" s="48">
        <v>7</v>
      </c>
      <c r="S121" s="61">
        <v>13016.42</v>
      </c>
      <c r="T121" s="4">
        <f t="shared" si="7"/>
        <v>91114.94</v>
      </c>
      <c r="V121" s="39"/>
      <c r="W121" s="1"/>
      <c r="X121" s="1"/>
    </row>
    <row r="122" spans="1:24" ht="12.75">
      <c r="A122" t="s">
        <v>167</v>
      </c>
      <c r="B122" t="s">
        <v>164</v>
      </c>
      <c r="C122" s="59" t="s">
        <v>427</v>
      </c>
      <c r="D122" s="18">
        <v>637.7</v>
      </c>
      <c r="F122" s="56">
        <v>0</v>
      </c>
      <c r="H122" s="18">
        <f t="shared" si="4"/>
        <v>0</v>
      </c>
      <c r="J122" s="61">
        <v>8757.91</v>
      </c>
      <c r="N122" s="1">
        <f t="shared" si="6"/>
        <v>0</v>
      </c>
      <c r="P122" s="4">
        <f t="shared" si="5"/>
        <v>0</v>
      </c>
      <c r="Q122" s="22"/>
      <c r="R122" s="48">
        <v>29</v>
      </c>
      <c r="S122" s="61">
        <v>8757.91</v>
      </c>
      <c r="T122" s="4">
        <f t="shared" si="7"/>
        <v>253979.38999999998</v>
      </c>
      <c r="V122" s="39"/>
      <c r="W122" s="1"/>
      <c r="X122" s="1"/>
    </row>
    <row r="123" spans="1:24" ht="12.75">
      <c r="A123" t="s">
        <v>168</v>
      </c>
      <c r="B123" t="s">
        <v>169</v>
      </c>
      <c r="C123" s="59" t="s">
        <v>428</v>
      </c>
      <c r="D123" s="18">
        <v>1418.7</v>
      </c>
      <c r="F123" s="56">
        <v>0</v>
      </c>
      <c r="H123" s="18">
        <f t="shared" si="4"/>
        <v>0</v>
      </c>
      <c r="J123" s="61">
        <v>8501.13</v>
      </c>
      <c r="N123" s="1">
        <f t="shared" si="6"/>
        <v>0</v>
      </c>
      <c r="P123" s="4">
        <f t="shared" si="5"/>
        <v>0</v>
      </c>
      <c r="Q123" s="22"/>
      <c r="R123" s="48">
        <v>45.5</v>
      </c>
      <c r="S123" s="61">
        <v>8501.13</v>
      </c>
      <c r="T123" s="4">
        <f t="shared" si="7"/>
        <v>386801.415</v>
      </c>
      <c r="V123" s="39"/>
      <c r="W123" s="1"/>
      <c r="X123" s="1"/>
    </row>
    <row r="124" spans="1:24" ht="12.75">
      <c r="A124" t="s">
        <v>170</v>
      </c>
      <c r="B124" t="s">
        <v>169</v>
      </c>
      <c r="C124" s="59" t="s">
        <v>429</v>
      </c>
      <c r="D124" s="18">
        <v>789.8</v>
      </c>
      <c r="F124" s="56">
        <v>0</v>
      </c>
      <c r="H124" s="18">
        <f t="shared" si="4"/>
        <v>0</v>
      </c>
      <c r="J124" s="61">
        <v>8991.47</v>
      </c>
      <c r="N124" s="1">
        <f t="shared" si="6"/>
        <v>0</v>
      </c>
      <c r="P124" s="4">
        <f t="shared" si="5"/>
        <v>0</v>
      </c>
      <c r="Q124" s="22"/>
      <c r="R124" s="48">
        <v>26.5</v>
      </c>
      <c r="S124" s="61">
        <v>8991.47</v>
      </c>
      <c r="T124" s="4">
        <f t="shared" si="7"/>
        <v>238273.955</v>
      </c>
      <c r="V124" s="39"/>
      <c r="W124" s="1"/>
      <c r="X124" s="1"/>
    </row>
    <row r="125" spans="1:24" ht="12.75">
      <c r="A125" t="s">
        <v>171</v>
      </c>
      <c r="B125" t="s">
        <v>169</v>
      </c>
      <c r="C125" s="59" t="s">
        <v>430</v>
      </c>
      <c r="D125" s="18">
        <v>137.3</v>
      </c>
      <c r="F125" s="56">
        <v>0</v>
      </c>
      <c r="H125" s="18">
        <f t="shared" si="4"/>
        <v>0</v>
      </c>
      <c r="J125" s="61">
        <v>15176.37</v>
      </c>
      <c r="N125" s="1">
        <f t="shared" si="6"/>
        <v>0</v>
      </c>
      <c r="P125" s="4">
        <f t="shared" si="5"/>
        <v>0</v>
      </c>
      <c r="Q125" s="22"/>
      <c r="R125" s="48">
        <v>0</v>
      </c>
      <c r="S125" s="61">
        <v>15176.37</v>
      </c>
      <c r="T125" s="4">
        <f t="shared" si="7"/>
        <v>0</v>
      </c>
      <c r="V125" s="39"/>
      <c r="W125" s="1"/>
      <c r="X125" s="1"/>
    </row>
    <row r="126" spans="1:24" ht="12.75">
      <c r="A126" t="s">
        <v>172</v>
      </c>
      <c r="B126" t="s">
        <v>169</v>
      </c>
      <c r="C126" s="59" t="s">
        <v>431</v>
      </c>
      <c r="D126" s="18">
        <v>389</v>
      </c>
      <c r="F126" s="56">
        <v>0</v>
      </c>
      <c r="H126" s="18">
        <f t="shared" si="4"/>
        <v>0</v>
      </c>
      <c r="J126" s="61">
        <v>9732.22</v>
      </c>
      <c r="N126" s="1">
        <f t="shared" si="6"/>
        <v>0</v>
      </c>
      <c r="P126" s="4">
        <f t="shared" si="5"/>
        <v>0</v>
      </c>
      <c r="Q126" s="22"/>
      <c r="R126" s="48">
        <v>9.5</v>
      </c>
      <c r="S126" s="61">
        <v>9732.22</v>
      </c>
      <c r="T126" s="4">
        <f t="shared" si="7"/>
        <v>92456.09</v>
      </c>
      <c r="V126" s="39"/>
      <c r="W126" s="1"/>
      <c r="X126" s="1"/>
    </row>
    <row r="127" spans="1:24" ht="12.75">
      <c r="A127" t="s">
        <v>173</v>
      </c>
      <c r="B127" t="s">
        <v>169</v>
      </c>
      <c r="C127" s="59" t="s">
        <v>432</v>
      </c>
      <c r="D127" s="18">
        <v>209.5</v>
      </c>
      <c r="F127" s="56">
        <v>0</v>
      </c>
      <c r="H127" s="18">
        <f t="shared" si="4"/>
        <v>0</v>
      </c>
      <c r="J127" s="61">
        <v>12643.85</v>
      </c>
      <c r="N127" s="1">
        <f t="shared" si="6"/>
        <v>0</v>
      </c>
      <c r="P127" s="4">
        <f t="shared" si="5"/>
        <v>0</v>
      </c>
      <c r="Q127" s="22"/>
      <c r="R127" s="48">
        <v>5.5</v>
      </c>
      <c r="S127" s="61">
        <v>12643.85</v>
      </c>
      <c r="T127" s="4">
        <f t="shared" si="7"/>
        <v>69541.175</v>
      </c>
      <c r="V127" s="39"/>
      <c r="W127" s="1"/>
      <c r="X127" s="1"/>
    </row>
    <row r="128" spans="1:24" ht="12.75">
      <c r="A128" t="s">
        <v>174</v>
      </c>
      <c r="B128" t="s">
        <v>169</v>
      </c>
      <c r="C128" s="59" t="s">
        <v>433</v>
      </c>
      <c r="D128" s="18">
        <v>353.7</v>
      </c>
      <c r="F128" s="56">
        <v>0</v>
      </c>
      <c r="H128" s="18">
        <f t="shared" si="4"/>
        <v>0</v>
      </c>
      <c r="J128" s="61">
        <v>10057.41</v>
      </c>
      <c r="N128" s="1">
        <f t="shared" si="6"/>
        <v>0</v>
      </c>
      <c r="P128" s="4">
        <f t="shared" si="5"/>
        <v>0</v>
      </c>
      <c r="Q128" s="22"/>
      <c r="R128" s="48">
        <v>0</v>
      </c>
      <c r="S128" s="61">
        <v>10057.41</v>
      </c>
      <c r="T128" s="4">
        <f t="shared" si="7"/>
        <v>0</v>
      </c>
      <c r="V128" s="39"/>
      <c r="W128" s="1"/>
      <c r="X128" s="1"/>
    </row>
    <row r="129" spans="1:24" ht="12.75">
      <c r="A129" t="s">
        <v>175</v>
      </c>
      <c r="B129" t="s">
        <v>176</v>
      </c>
      <c r="C129" s="59" t="s">
        <v>434</v>
      </c>
      <c r="D129" s="18">
        <v>167.70000000000002</v>
      </c>
      <c r="F129" s="56">
        <v>0</v>
      </c>
      <c r="H129" s="18">
        <f t="shared" si="4"/>
        <v>0</v>
      </c>
      <c r="J129" s="61">
        <v>15491.9</v>
      </c>
      <c r="N129" s="1">
        <f t="shared" si="6"/>
        <v>0</v>
      </c>
      <c r="P129" s="4">
        <f t="shared" si="5"/>
        <v>0</v>
      </c>
      <c r="Q129" s="22"/>
      <c r="R129" s="48">
        <v>4</v>
      </c>
      <c r="S129" s="61">
        <v>15491.9</v>
      </c>
      <c r="T129" s="4">
        <f t="shared" si="7"/>
        <v>61967.6</v>
      </c>
      <c r="V129" s="39"/>
      <c r="W129" s="1"/>
      <c r="X129" s="1"/>
    </row>
    <row r="130" spans="1:24" ht="12.75">
      <c r="A130" t="s">
        <v>177</v>
      </c>
      <c r="B130" t="s">
        <v>176</v>
      </c>
      <c r="C130" s="59" t="s">
        <v>435</v>
      </c>
      <c r="D130" s="18">
        <v>331.8</v>
      </c>
      <c r="F130" s="56">
        <v>0</v>
      </c>
      <c r="H130" s="18">
        <f t="shared" si="4"/>
        <v>0</v>
      </c>
      <c r="J130" s="61">
        <v>11273.07</v>
      </c>
      <c r="N130" s="1">
        <f t="shared" si="6"/>
        <v>0</v>
      </c>
      <c r="P130" s="4">
        <f t="shared" si="5"/>
        <v>0</v>
      </c>
      <c r="Q130" s="22"/>
      <c r="R130" s="48">
        <v>6</v>
      </c>
      <c r="S130" s="61">
        <v>11273.07</v>
      </c>
      <c r="T130" s="4">
        <f t="shared" si="7"/>
        <v>67638.42</v>
      </c>
      <c r="V130" s="39"/>
      <c r="W130" s="1"/>
      <c r="X130" s="1"/>
    </row>
    <row r="131" spans="1:24" ht="12.75">
      <c r="A131" t="s">
        <v>178</v>
      </c>
      <c r="B131" t="s">
        <v>179</v>
      </c>
      <c r="C131" s="59" t="s">
        <v>436</v>
      </c>
      <c r="D131" s="18">
        <v>902.7</v>
      </c>
      <c r="F131" s="56">
        <v>0</v>
      </c>
      <c r="H131" s="18">
        <f t="shared" si="4"/>
        <v>0</v>
      </c>
      <c r="J131" s="61">
        <v>8696.1</v>
      </c>
      <c r="N131" s="1">
        <f t="shared" si="6"/>
        <v>0</v>
      </c>
      <c r="P131" s="4">
        <f t="shared" si="5"/>
        <v>0</v>
      </c>
      <c r="Q131" s="22"/>
      <c r="R131" s="48">
        <v>23</v>
      </c>
      <c r="S131" s="61">
        <v>8696.1</v>
      </c>
      <c r="T131" s="4">
        <f t="shared" si="7"/>
        <v>200010.30000000002</v>
      </c>
      <c r="V131" s="39"/>
      <c r="W131" s="1"/>
      <c r="X131" s="1"/>
    </row>
    <row r="132" spans="1:24" ht="12.75">
      <c r="A132" t="s">
        <v>180</v>
      </c>
      <c r="B132" t="s">
        <v>179</v>
      </c>
      <c r="C132" s="59" t="s">
        <v>437</v>
      </c>
      <c r="D132" s="18">
        <v>647.7</v>
      </c>
      <c r="F132" s="56">
        <v>147.8</v>
      </c>
      <c r="G132" s="18">
        <v>10</v>
      </c>
      <c r="H132" s="18">
        <f aca="true" t="shared" si="8" ref="H132:H205">F132-G132</f>
        <v>137.8</v>
      </c>
      <c r="J132" s="61">
        <v>9024.8</v>
      </c>
      <c r="L132" s="1">
        <v>7019.71</v>
      </c>
      <c r="N132" s="1">
        <f t="shared" si="6"/>
        <v>1243617.44</v>
      </c>
      <c r="O132" s="1">
        <f>G132*L132</f>
        <v>70197.1</v>
      </c>
      <c r="P132" s="4">
        <f aca="true" t="shared" si="9" ref="P132:P182">N132+O132</f>
        <v>1313814.54</v>
      </c>
      <c r="Q132" s="22"/>
      <c r="R132" s="48">
        <v>29.5</v>
      </c>
      <c r="S132" s="61">
        <v>9024.8</v>
      </c>
      <c r="T132" s="4">
        <f t="shared" si="7"/>
        <v>266231.6</v>
      </c>
      <c r="V132" s="39"/>
      <c r="W132" s="1"/>
      <c r="X132" s="1"/>
    </row>
    <row r="133" spans="1:24" ht="12.75">
      <c r="A133" t="s">
        <v>181</v>
      </c>
      <c r="B133" t="s">
        <v>182</v>
      </c>
      <c r="C133" s="59" t="s">
        <v>438</v>
      </c>
      <c r="D133" s="18">
        <v>585.4</v>
      </c>
      <c r="F133" s="56">
        <v>0</v>
      </c>
      <c r="H133" s="18">
        <f t="shared" si="8"/>
        <v>0</v>
      </c>
      <c r="J133" s="61">
        <v>8613.17</v>
      </c>
      <c r="N133" s="1">
        <f aca="true" t="shared" si="10" ref="N133:N205">H133*J133</f>
        <v>0</v>
      </c>
      <c r="P133" s="4">
        <f t="shared" si="9"/>
        <v>0</v>
      </c>
      <c r="Q133" s="22"/>
      <c r="R133" s="48">
        <v>12.5</v>
      </c>
      <c r="S133" s="61">
        <v>8613.17</v>
      </c>
      <c r="T133" s="4">
        <f aca="true" t="shared" si="11" ref="T133:T206">R133*S133</f>
        <v>107664.625</v>
      </c>
      <c r="V133" s="39"/>
      <c r="W133" s="1"/>
      <c r="X133" s="1"/>
    </row>
    <row r="134" spans="1:24" ht="12.75">
      <c r="A134" t="s">
        <v>183</v>
      </c>
      <c r="B134" t="s">
        <v>182</v>
      </c>
      <c r="C134" s="59" t="s">
        <v>439</v>
      </c>
      <c r="D134" s="18">
        <v>322.1</v>
      </c>
      <c r="F134" s="56">
        <v>0</v>
      </c>
      <c r="H134" s="18">
        <f t="shared" si="8"/>
        <v>0</v>
      </c>
      <c r="J134" s="61">
        <v>9915.15</v>
      </c>
      <c r="N134" s="1">
        <f t="shared" si="10"/>
        <v>0</v>
      </c>
      <c r="P134" s="4">
        <f t="shared" si="9"/>
        <v>0</v>
      </c>
      <c r="Q134" s="22"/>
      <c r="R134" s="48">
        <v>7.5</v>
      </c>
      <c r="S134" s="61">
        <v>9915.15</v>
      </c>
      <c r="T134" s="4">
        <f t="shared" si="11"/>
        <v>74363.625</v>
      </c>
      <c r="V134" s="39"/>
      <c r="W134" s="1"/>
      <c r="X134" s="1"/>
    </row>
    <row r="135" spans="1:24" ht="12.75">
      <c r="A135" t="s">
        <v>184</v>
      </c>
      <c r="B135" t="s">
        <v>185</v>
      </c>
      <c r="C135" s="59" t="s">
        <v>440</v>
      </c>
      <c r="D135" s="18">
        <v>1652.4</v>
      </c>
      <c r="F135" s="56">
        <v>127.3</v>
      </c>
      <c r="H135" s="18">
        <f t="shared" si="8"/>
        <v>127.3</v>
      </c>
      <c r="J135" s="61">
        <v>10511.29</v>
      </c>
      <c r="N135" s="1">
        <f t="shared" si="10"/>
        <v>1338087.2170000002</v>
      </c>
      <c r="P135" s="4">
        <f t="shared" si="9"/>
        <v>1338087.2170000002</v>
      </c>
      <c r="Q135" s="22"/>
      <c r="R135" s="48">
        <v>22.5</v>
      </c>
      <c r="S135" s="61">
        <v>10511.29</v>
      </c>
      <c r="T135" s="4">
        <f t="shared" si="11"/>
        <v>236504.02500000002</v>
      </c>
      <c r="V135" s="39"/>
      <c r="W135" s="1"/>
      <c r="X135" s="1"/>
    </row>
    <row r="136" spans="1:24" ht="12.75">
      <c r="A136" t="s">
        <v>186</v>
      </c>
      <c r="B136" t="s">
        <v>187</v>
      </c>
      <c r="C136" s="59" t="s">
        <v>441</v>
      </c>
      <c r="D136" s="18">
        <v>195.3</v>
      </c>
      <c r="F136" s="56">
        <v>0</v>
      </c>
      <c r="H136" s="18">
        <f t="shared" si="8"/>
        <v>0</v>
      </c>
      <c r="J136" s="61">
        <v>12852.63</v>
      </c>
      <c r="N136" s="1">
        <f t="shared" si="10"/>
        <v>0</v>
      </c>
      <c r="P136" s="4">
        <f t="shared" si="9"/>
        <v>0</v>
      </c>
      <c r="Q136" s="22"/>
      <c r="R136" s="48">
        <v>2.5</v>
      </c>
      <c r="S136" s="61">
        <v>12852.63</v>
      </c>
      <c r="T136" s="4">
        <f t="shared" si="11"/>
        <v>32131.574999999997</v>
      </c>
      <c r="V136" s="39"/>
      <c r="W136" s="1"/>
      <c r="X136" s="1"/>
    </row>
    <row r="137" spans="1:24" ht="12.75">
      <c r="A137" t="s">
        <v>188</v>
      </c>
      <c r="B137" t="s">
        <v>187</v>
      </c>
      <c r="C137" s="59" t="s">
        <v>442</v>
      </c>
      <c r="D137" s="18">
        <v>1487.4</v>
      </c>
      <c r="F137" s="56">
        <v>126.6</v>
      </c>
      <c r="H137" s="18">
        <f t="shared" si="8"/>
        <v>126.6</v>
      </c>
      <c r="J137" s="61">
        <v>8157.81</v>
      </c>
      <c r="N137" s="1">
        <f t="shared" si="10"/>
        <v>1032778.746</v>
      </c>
      <c r="P137" s="4">
        <f t="shared" si="9"/>
        <v>1032778.746</v>
      </c>
      <c r="Q137" s="22"/>
      <c r="R137" s="48">
        <v>51</v>
      </c>
      <c r="S137" s="61">
        <v>8157.81</v>
      </c>
      <c r="T137" s="4">
        <f t="shared" si="11"/>
        <v>416048.31</v>
      </c>
      <c r="V137" s="39"/>
      <c r="W137" s="1"/>
      <c r="X137" s="1"/>
    </row>
    <row r="138" spans="1:24" ht="12.75">
      <c r="A138" t="s">
        <v>189</v>
      </c>
      <c r="B138" t="s">
        <v>187</v>
      </c>
      <c r="C138" s="59" t="s">
        <v>443</v>
      </c>
      <c r="D138" s="18">
        <v>286.3</v>
      </c>
      <c r="F138" s="56">
        <v>0</v>
      </c>
      <c r="H138" s="18">
        <f t="shared" si="8"/>
        <v>0</v>
      </c>
      <c r="J138" s="61">
        <v>10376.37</v>
      </c>
      <c r="N138" s="1">
        <f t="shared" si="10"/>
        <v>0</v>
      </c>
      <c r="P138" s="4">
        <f t="shared" si="9"/>
        <v>0</v>
      </c>
      <c r="Q138" s="22"/>
      <c r="R138" s="48">
        <v>9.5</v>
      </c>
      <c r="S138" s="61">
        <v>10376.37</v>
      </c>
      <c r="T138" s="4">
        <f t="shared" si="11"/>
        <v>98575.51500000001</v>
      </c>
      <c r="V138" s="39"/>
      <c r="W138" s="1"/>
      <c r="X138" s="1"/>
    </row>
    <row r="139" spans="1:24" ht="12.75">
      <c r="A139" t="s">
        <v>190</v>
      </c>
      <c r="B139" t="s">
        <v>187</v>
      </c>
      <c r="C139" s="59" t="s">
        <v>444</v>
      </c>
      <c r="D139" s="18">
        <v>233.20000000000002</v>
      </c>
      <c r="F139" s="56">
        <v>0</v>
      </c>
      <c r="H139" s="18">
        <f t="shared" si="8"/>
        <v>0</v>
      </c>
      <c r="J139" s="61">
        <v>11470.72</v>
      </c>
      <c r="N139" s="1">
        <f t="shared" si="10"/>
        <v>0</v>
      </c>
      <c r="P139" s="4">
        <f t="shared" si="9"/>
        <v>0</v>
      </c>
      <c r="Q139" s="22"/>
      <c r="R139" s="48">
        <v>6</v>
      </c>
      <c r="S139" s="61">
        <v>11470.72</v>
      </c>
      <c r="T139" s="4">
        <f t="shared" si="11"/>
        <v>68824.31999999999</v>
      </c>
      <c r="V139" s="39"/>
      <c r="W139" s="1"/>
      <c r="X139" s="1"/>
    </row>
    <row r="140" spans="1:24" ht="12.75">
      <c r="A140" t="s">
        <v>191</v>
      </c>
      <c r="B140" t="s">
        <v>192</v>
      </c>
      <c r="C140" s="59" t="s">
        <v>445</v>
      </c>
      <c r="D140" s="18">
        <v>16415.8</v>
      </c>
      <c r="F140" s="56">
        <v>1477.3</v>
      </c>
      <c r="H140" s="18">
        <f t="shared" si="8"/>
        <v>1477.3</v>
      </c>
      <c r="J140" s="61">
        <v>8373.61</v>
      </c>
      <c r="N140" s="1">
        <f t="shared" si="10"/>
        <v>12370334.053000001</v>
      </c>
      <c r="P140" s="4">
        <f t="shared" si="9"/>
        <v>12370334.053000001</v>
      </c>
      <c r="Q140" s="22"/>
      <c r="R140" s="48">
        <v>629.5</v>
      </c>
      <c r="S140" s="61">
        <v>8373.61</v>
      </c>
      <c r="T140" s="4">
        <f t="shared" si="11"/>
        <v>5271187.495</v>
      </c>
      <c r="V140" s="39"/>
      <c r="W140" s="1"/>
      <c r="X140" s="1"/>
    </row>
    <row r="141" spans="1:24" ht="12.75">
      <c r="A141" t="s">
        <v>193</v>
      </c>
      <c r="B141" t="s">
        <v>192</v>
      </c>
      <c r="C141" s="59" t="s">
        <v>446</v>
      </c>
      <c r="D141" s="18">
        <v>9578.6</v>
      </c>
      <c r="F141" s="56">
        <v>909.2</v>
      </c>
      <c r="H141" s="18">
        <f t="shared" si="8"/>
        <v>909.2</v>
      </c>
      <c r="J141" s="61">
        <v>7708.21</v>
      </c>
      <c r="L141" s="1">
        <v>7019.71</v>
      </c>
      <c r="N141" s="1">
        <f t="shared" si="10"/>
        <v>7008304.532000001</v>
      </c>
      <c r="O141" s="1">
        <f>G141*L141</f>
        <v>0</v>
      </c>
      <c r="P141" s="4">
        <f t="shared" si="9"/>
        <v>7008304.532000001</v>
      </c>
      <c r="Q141" s="22"/>
      <c r="R141" s="48">
        <v>93</v>
      </c>
      <c r="S141" s="61">
        <v>7708.21</v>
      </c>
      <c r="T141" s="4">
        <f t="shared" si="11"/>
        <v>716863.53</v>
      </c>
      <c r="V141" s="39"/>
      <c r="W141" s="1"/>
      <c r="X141" s="1"/>
    </row>
    <row r="142" spans="1:24" ht="12.75">
      <c r="A142" t="s">
        <v>194</v>
      </c>
      <c r="B142" t="s">
        <v>195</v>
      </c>
      <c r="C142" s="59" t="s">
        <v>447</v>
      </c>
      <c r="D142" s="18">
        <v>700.7</v>
      </c>
      <c r="F142" s="56">
        <v>0</v>
      </c>
      <c r="H142" s="18">
        <f t="shared" si="8"/>
        <v>0</v>
      </c>
      <c r="J142" s="61">
        <v>8409.02</v>
      </c>
      <c r="N142" s="1">
        <f t="shared" si="10"/>
        <v>0</v>
      </c>
      <c r="P142" s="4">
        <f t="shared" si="9"/>
        <v>0</v>
      </c>
      <c r="Q142" s="22"/>
      <c r="R142" s="48">
        <v>15</v>
      </c>
      <c r="S142" s="61">
        <v>8409.02</v>
      </c>
      <c r="T142" s="4">
        <f t="shared" si="11"/>
        <v>126135.3</v>
      </c>
      <c r="V142" s="39"/>
      <c r="W142" s="1"/>
      <c r="X142" s="1"/>
    </row>
    <row r="143" spans="1:24" ht="12.75">
      <c r="A143" t="s">
        <v>196</v>
      </c>
      <c r="B143" t="s">
        <v>195</v>
      </c>
      <c r="C143" s="59" t="s">
        <v>448</v>
      </c>
      <c r="D143" s="18">
        <v>483.7</v>
      </c>
      <c r="F143" s="56">
        <v>0</v>
      </c>
      <c r="H143" s="18">
        <f t="shared" si="8"/>
        <v>0</v>
      </c>
      <c r="J143" s="61">
        <v>8514.37</v>
      </c>
      <c r="N143" s="1">
        <f t="shared" si="10"/>
        <v>0</v>
      </c>
      <c r="P143" s="4">
        <f t="shared" si="9"/>
        <v>0</v>
      </c>
      <c r="Q143" s="22"/>
      <c r="R143" s="48">
        <v>10.5</v>
      </c>
      <c r="S143" s="61">
        <v>8514.37</v>
      </c>
      <c r="T143" s="4">
        <f t="shared" si="11"/>
        <v>89400.88500000001</v>
      </c>
      <c r="V143" s="39"/>
      <c r="W143" s="1"/>
      <c r="X143" s="1"/>
    </row>
    <row r="144" spans="1:24" ht="12.75">
      <c r="A144" t="s">
        <v>197</v>
      </c>
      <c r="B144" t="s">
        <v>198</v>
      </c>
      <c r="C144" s="59" t="s">
        <v>449</v>
      </c>
      <c r="D144" s="18">
        <v>432.1</v>
      </c>
      <c r="F144" s="56">
        <v>0</v>
      </c>
      <c r="H144" s="18">
        <f t="shared" si="8"/>
        <v>0</v>
      </c>
      <c r="J144" s="61">
        <v>9209.06</v>
      </c>
      <c r="N144" s="1">
        <f t="shared" si="10"/>
        <v>0</v>
      </c>
      <c r="P144" s="4">
        <f t="shared" si="9"/>
        <v>0</v>
      </c>
      <c r="Q144" s="22"/>
      <c r="R144" s="48">
        <v>20.5</v>
      </c>
      <c r="S144" s="61">
        <v>9209.06</v>
      </c>
      <c r="T144" s="4">
        <f t="shared" si="11"/>
        <v>188785.72999999998</v>
      </c>
      <c r="V144" s="39"/>
      <c r="W144" s="1"/>
      <c r="X144" s="1"/>
    </row>
    <row r="145" spans="1:24" ht="12.75">
      <c r="A145" t="s">
        <v>199</v>
      </c>
      <c r="B145" t="s">
        <v>198</v>
      </c>
      <c r="C145" s="59" t="s">
        <v>450</v>
      </c>
      <c r="D145" s="18">
        <v>1103.2</v>
      </c>
      <c r="F145" s="56">
        <v>0</v>
      </c>
      <c r="H145" s="18">
        <f t="shared" si="8"/>
        <v>0</v>
      </c>
      <c r="J145" s="61">
        <v>8234.21</v>
      </c>
      <c r="N145" s="1">
        <f t="shared" si="10"/>
        <v>0</v>
      </c>
      <c r="P145" s="4">
        <f t="shared" si="9"/>
        <v>0</v>
      </c>
      <c r="Q145" s="22"/>
      <c r="R145" s="48">
        <v>21.5</v>
      </c>
      <c r="S145" s="61">
        <v>8234.21</v>
      </c>
      <c r="T145" s="4">
        <f t="shared" si="11"/>
        <v>177035.51499999998</v>
      </c>
      <c r="V145" s="39"/>
      <c r="W145" s="1"/>
      <c r="X145" s="1"/>
    </row>
    <row r="146" spans="1:24" ht="12.75">
      <c r="A146" t="s">
        <v>200</v>
      </c>
      <c r="B146" t="s">
        <v>198</v>
      </c>
      <c r="C146" s="59" t="s">
        <v>451</v>
      </c>
      <c r="D146" s="18">
        <v>387.5</v>
      </c>
      <c r="F146" s="56">
        <v>0</v>
      </c>
      <c r="H146" s="18">
        <f t="shared" si="8"/>
        <v>0</v>
      </c>
      <c r="J146" s="61">
        <v>9474.29</v>
      </c>
      <c r="N146" s="1">
        <f t="shared" si="10"/>
        <v>0</v>
      </c>
      <c r="P146" s="4">
        <f t="shared" si="9"/>
        <v>0</v>
      </c>
      <c r="Q146" s="22"/>
      <c r="R146" s="48">
        <v>12.5</v>
      </c>
      <c r="S146" s="61">
        <v>9474.29</v>
      </c>
      <c r="T146" s="4">
        <f t="shared" si="11"/>
        <v>118428.62500000001</v>
      </c>
      <c r="V146" s="39"/>
      <c r="W146" s="1"/>
      <c r="X146" s="1"/>
    </row>
    <row r="147" spans="1:24" ht="12.75">
      <c r="A147" t="s">
        <v>201</v>
      </c>
      <c r="B147" t="s">
        <v>202</v>
      </c>
      <c r="C147" s="59" t="s">
        <v>452</v>
      </c>
      <c r="D147" s="18">
        <v>398.2</v>
      </c>
      <c r="F147" s="56">
        <v>0</v>
      </c>
      <c r="H147" s="18">
        <f t="shared" si="8"/>
        <v>0</v>
      </c>
      <c r="J147" s="61">
        <v>10251.07</v>
      </c>
      <c r="N147" s="1">
        <f t="shared" si="10"/>
        <v>0</v>
      </c>
      <c r="P147" s="4">
        <f t="shared" si="9"/>
        <v>0</v>
      </c>
      <c r="Q147" s="22"/>
      <c r="R147" s="48">
        <v>7.5</v>
      </c>
      <c r="S147" s="61">
        <v>10251.07</v>
      </c>
      <c r="T147" s="4">
        <f t="shared" si="11"/>
        <v>76883.025</v>
      </c>
      <c r="V147" s="39"/>
      <c r="W147" s="1"/>
      <c r="X147" s="1"/>
    </row>
    <row r="148" spans="1:24" ht="12.75">
      <c r="A148" t="s">
        <v>203</v>
      </c>
      <c r="B148" t="s">
        <v>202</v>
      </c>
      <c r="C148" s="59" t="s">
        <v>453</v>
      </c>
      <c r="D148" s="18">
        <v>2602</v>
      </c>
      <c r="F148" s="56">
        <v>87.4</v>
      </c>
      <c r="H148" s="18">
        <f t="shared" si="8"/>
        <v>87.4</v>
      </c>
      <c r="J148" s="61">
        <v>8104.89</v>
      </c>
      <c r="N148" s="1">
        <f t="shared" si="10"/>
        <v>708367.386</v>
      </c>
      <c r="P148" s="4">
        <f t="shared" si="9"/>
        <v>708367.386</v>
      </c>
      <c r="Q148" s="22"/>
      <c r="R148" s="48">
        <v>24</v>
      </c>
      <c r="S148" s="61">
        <v>8104.89</v>
      </c>
      <c r="T148" s="4">
        <f t="shared" si="11"/>
        <v>194517.36000000002</v>
      </c>
      <c r="V148" s="39"/>
      <c r="W148" s="1"/>
      <c r="X148" s="1"/>
    </row>
    <row r="149" spans="1:24" ht="12.75">
      <c r="A149" t="s">
        <v>204</v>
      </c>
      <c r="B149" t="s">
        <v>202</v>
      </c>
      <c r="C149" s="59" t="s">
        <v>454</v>
      </c>
      <c r="D149" s="18">
        <v>330.5</v>
      </c>
      <c r="F149" s="56">
        <v>0</v>
      </c>
      <c r="H149" s="18">
        <f t="shared" si="8"/>
        <v>0</v>
      </c>
      <c r="J149" s="61">
        <v>11229.91</v>
      </c>
      <c r="N149" s="1">
        <f t="shared" si="10"/>
        <v>0</v>
      </c>
      <c r="P149" s="4">
        <f t="shared" si="9"/>
        <v>0</v>
      </c>
      <c r="Q149" s="22"/>
      <c r="R149" s="48">
        <v>9</v>
      </c>
      <c r="S149" s="61">
        <v>11229.91</v>
      </c>
      <c r="T149" s="4">
        <f t="shared" si="11"/>
        <v>101069.19</v>
      </c>
      <c r="V149" s="39"/>
      <c r="W149" s="1"/>
      <c r="X149" s="1"/>
    </row>
    <row r="150" spans="1:24" ht="12.75">
      <c r="A150" t="s">
        <v>205</v>
      </c>
      <c r="B150" t="s">
        <v>206</v>
      </c>
      <c r="C150" s="59" t="s">
        <v>455</v>
      </c>
      <c r="D150" s="18">
        <v>131.2</v>
      </c>
      <c r="F150" s="56">
        <v>0</v>
      </c>
      <c r="H150" s="18">
        <f t="shared" si="8"/>
        <v>0</v>
      </c>
      <c r="J150" s="61">
        <v>14707.05</v>
      </c>
      <c r="N150" s="1">
        <f t="shared" si="10"/>
        <v>0</v>
      </c>
      <c r="P150" s="4">
        <f t="shared" si="9"/>
        <v>0</v>
      </c>
      <c r="Q150" s="22"/>
      <c r="R150" s="48">
        <v>9.5</v>
      </c>
      <c r="S150" s="61">
        <v>14707.05</v>
      </c>
      <c r="T150" s="4">
        <f t="shared" si="11"/>
        <v>139716.975</v>
      </c>
      <c r="V150" s="39"/>
      <c r="W150" s="1"/>
      <c r="X150" s="1"/>
    </row>
    <row r="151" spans="1:24" ht="12.75">
      <c r="A151" t="s">
        <v>207</v>
      </c>
      <c r="B151" t="s">
        <v>206</v>
      </c>
      <c r="C151" s="59" t="s">
        <v>456</v>
      </c>
      <c r="D151" s="18">
        <v>220</v>
      </c>
      <c r="F151" s="56">
        <v>80.1</v>
      </c>
      <c r="H151" s="18">
        <f t="shared" si="8"/>
        <v>80.1</v>
      </c>
      <c r="J151" s="61">
        <v>14141.83</v>
      </c>
      <c r="N151" s="1">
        <f t="shared" si="10"/>
        <v>1132760.5829999999</v>
      </c>
      <c r="P151" s="4">
        <f t="shared" si="9"/>
        <v>1132760.5829999999</v>
      </c>
      <c r="Q151" s="22"/>
      <c r="R151" s="48">
        <v>12</v>
      </c>
      <c r="S151" s="61">
        <v>14141.83</v>
      </c>
      <c r="T151" s="4">
        <f t="shared" si="11"/>
        <v>169701.96</v>
      </c>
      <c r="V151" s="39"/>
      <c r="W151" s="1"/>
      <c r="X151" s="1"/>
    </row>
    <row r="152" spans="1:24" ht="12.75">
      <c r="A152" t="s">
        <v>208</v>
      </c>
      <c r="B152" t="s">
        <v>206</v>
      </c>
      <c r="C152" s="59" t="s">
        <v>457</v>
      </c>
      <c r="D152" s="18">
        <v>652</v>
      </c>
      <c r="F152" s="56">
        <v>0</v>
      </c>
      <c r="H152" s="18">
        <f t="shared" si="8"/>
        <v>0</v>
      </c>
      <c r="J152" s="61">
        <v>9098.2</v>
      </c>
      <c r="N152" s="1">
        <f t="shared" si="10"/>
        <v>0</v>
      </c>
      <c r="P152" s="4">
        <f t="shared" si="9"/>
        <v>0</v>
      </c>
      <c r="Q152" s="22"/>
      <c r="R152" s="48">
        <v>52.5</v>
      </c>
      <c r="S152" s="61">
        <v>9098.2</v>
      </c>
      <c r="T152" s="4">
        <f t="shared" si="11"/>
        <v>477655.50000000006</v>
      </c>
      <c r="V152" s="39"/>
      <c r="W152" s="1"/>
      <c r="X152" s="1"/>
    </row>
    <row r="153" spans="1:24" ht="12.75">
      <c r="A153" t="s">
        <v>209</v>
      </c>
      <c r="B153" t="s">
        <v>210</v>
      </c>
      <c r="C153" s="59" t="s">
        <v>458</v>
      </c>
      <c r="D153" s="18">
        <v>66.1</v>
      </c>
      <c r="F153" s="56">
        <v>0</v>
      </c>
      <c r="H153" s="18">
        <f t="shared" si="8"/>
        <v>0</v>
      </c>
      <c r="J153" s="61">
        <v>17390.75</v>
      </c>
      <c r="N153" s="1">
        <f t="shared" si="10"/>
        <v>0</v>
      </c>
      <c r="P153" s="4">
        <f t="shared" si="9"/>
        <v>0</v>
      </c>
      <c r="Q153" s="22"/>
      <c r="R153" s="48">
        <v>3.5</v>
      </c>
      <c r="S153" s="61">
        <v>17390.75</v>
      </c>
      <c r="T153" s="4">
        <f t="shared" si="11"/>
        <v>60867.625</v>
      </c>
      <c r="V153" s="39"/>
      <c r="W153" s="1"/>
      <c r="X153" s="1"/>
    </row>
    <row r="154" spans="1:24" ht="12.75">
      <c r="A154" t="s">
        <v>211</v>
      </c>
      <c r="B154" t="s">
        <v>212</v>
      </c>
      <c r="C154" s="59" t="s">
        <v>459</v>
      </c>
      <c r="D154" s="18">
        <v>910.4</v>
      </c>
      <c r="F154" s="56">
        <v>0</v>
      </c>
      <c r="H154" s="18">
        <f t="shared" si="8"/>
        <v>0</v>
      </c>
      <c r="J154" s="61">
        <v>10800.87</v>
      </c>
      <c r="N154" s="1">
        <f t="shared" si="10"/>
        <v>0</v>
      </c>
      <c r="P154" s="4">
        <f t="shared" si="9"/>
        <v>0</v>
      </c>
      <c r="Q154" s="22"/>
      <c r="R154" s="48">
        <v>18.5</v>
      </c>
      <c r="S154" s="61">
        <v>10800.87</v>
      </c>
      <c r="T154" s="4">
        <f t="shared" si="11"/>
        <v>199816.095</v>
      </c>
      <c r="V154" s="39"/>
      <c r="W154" s="1"/>
      <c r="X154" s="1"/>
    </row>
    <row r="155" spans="1:24" ht="12.75">
      <c r="A155" t="s">
        <v>213</v>
      </c>
      <c r="B155" t="s">
        <v>212</v>
      </c>
      <c r="C155" s="59" t="s">
        <v>460</v>
      </c>
      <c r="D155" s="18">
        <v>230.8</v>
      </c>
      <c r="F155" s="56">
        <v>0</v>
      </c>
      <c r="H155" s="18">
        <f t="shared" si="8"/>
        <v>0</v>
      </c>
      <c r="J155" s="61">
        <v>12847.37</v>
      </c>
      <c r="N155" s="1">
        <f t="shared" si="10"/>
        <v>0</v>
      </c>
      <c r="P155" s="4">
        <f t="shared" si="9"/>
        <v>0</v>
      </c>
      <c r="Q155" s="22"/>
      <c r="R155" s="48">
        <v>10</v>
      </c>
      <c r="S155" s="61">
        <v>12847.37</v>
      </c>
      <c r="T155" s="4">
        <f t="shared" si="11"/>
        <v>128473.70000000001</v>
      </c>
      <c r="V155" s="39"/>
      <c r="W155" s="1"/>
      <c r="X155" s="1"/>
    </row>
    <row r="156" spans="1:24" ht="12.75">
      <c r="A156" t="s">
        <v>214</v>
      </c>
      <c r="B156" t="s">
        <v>215</v>
      </c>
      <c r="C156" s="59" t="s">
        <v>461</v>
      </c>
      <c r="D156" s="18">
        <v>516.3</v>
      </c>
      <c r="F156" s="56">
        <v>0</v>
      </c>
      <c r="H156" s="18">
        <f t="shared" si="8"/>
        <v>0</v>
      </c>
      <c r="J156" s="61">
        <v>8141.69</v>
      </c>
      <c r="N156" s="1">
        <f t="shared" si="10"/>
        <v>0</v>
      </c>
      <c r="P156" s="4">
        <f t="shared" si="9"/>
        <v>0</v>
      </c>
      <c r="Q156" s="22"/>
      <c r="R156" s="48">
        <v>7.5</v>
      </c>
      <c r="S156" s="61">
        <v>8141.69</v>
      </c>
      <c r="T156" s="4">
        <f t="shared" si="11"/>
        <v>61062.674999999996</v>
      </c>
      <c r="V156" s="39"/>
      <c r="W156" s="1"/>
      <c r="X156" s="1"/>
    </row>
    <row r="157" spans="1:24" ht="12.75">
      <c r="A157" t="s">
        <v>216</v>
      </c>
      <c r="B157" t="s">
        <v>215</v>
      </c>
      <c r="C157" s="59" t="s">
        <v>462</v>
      </c>
      <c r="D157" s="18">
        <v>139.4</v>
      </c>
      <c r="F157" s="56">
        <v>0</v>
      </c>
      <c r="H157" s="18">
        <f t="shared" si="8"/>
        <v>0</v>
      </c>
      <c r="J157" s="61">
        <v>14399.83</v>
      </c>
      <c r="N157" s="1">
        <f t="shared" si="10"/>
        <v>0</v>
      </c>
      <c r="P157" s="4">
        <f t="shared" si="9"/>
        <v>0</v>
      </c>
      <c r="Q157" s="22"/>
      <c r="R157" s="48">
        <v>6</v>
      </c>
      <c r="S157" s="61">
        <v>14399.83</v>
      </c>
      <c r="T157" s="4">
        <f t="shared" si="11"/>
        <v>86398.98</v>
      </c>
      <c r="V157" s="39"/>
      <c r="W157" s="1"/>
      <c r="X157" s="1"/>
    </row>
    <row r="158" spans="1:24" ht="12.75">
      <c r="A158" t="s">
        <v>217</v>
      </c>
      <c r="B158" t="s">
        <v>218</v>
      </c>
      <c r="C158" s="59" t="s">
        <v>463</v>
      </c>
      <c r="D158" s="18">
        <v>3397.5</v>
      </c>
      <c r="F158" s="56">
        <v>0</v>
      </c>
      <c r="H158" s="18">
        <f t="shared" si="8"/>
        <v>0</v>
      </c>
      <c r="J158" s="61">
        <v>8427.93</v>
      </c>
      <c r="N158" s="1">
        <f t="shared" si="10"/>
        <v>0</v>
      </c>
      <c r="P158" s="4">
        <f t="shared" si="9"/>
        <v>0</v>
      </c>
      <c r="Q158" s="22"/>
      <c r="R158" s="48">
        <v>57.5</v>
      </c>
      <c r="S158" s="61">
        <v>8427.93</v>
      </c>
      <c r="T158" s="4">
        <f t="shared" si="11"/>
        <v>484605.97500000003</v>
      </c>
      <c r="V158" s="39"/>
      <c r="W158" s="1"/>
      <c r="X158" s="1"/>
    </row>
    <row r="159" spans="1:24" ht="12.75">
      <c r="A159" t="s">
        <v>219</v>
      </c>
      <c r="B159" t="s">
        <v>220</v>
      </c>
      <c r="C159" s="59" t="s">
        <v>464</v>
      </c>
      <c r="D159" s="18">
        <v>357.9</v>
      </c>
      <c r="F159" s="56">
        <v>0</v>
      </c>
      <c r="H159" s="18">
        <f t="shared" si="8"/>
        <v>0</v>
      </c>
      <c r="J159" s="61">
        <v>10671.81</v>
      </c>
      <c r="N159" s="1">
        <f t="shared" si="10"/>
        <v>0</v>
      </c>
      <c r="P159" s="4">
        <f t="shared" si="9"/>
        <v>0</v>
      </c>
      <c r="Q159" s="22"/>
      <c r="R159" s="48">
        <v>22.5</v>
      </c>
      <c r="S159" s="61">
        <v>10671.81</v>
      </c>
      <c r="T159" s="4">
        <f t="shared" si="11"/>
        <v>240115.72499999998</v>
      </c>
      <c r="V159" s="39"/>
      <c r="W159" s="1"/>
      <c r="X159" s="1"/>
    </row>
    <row r="160" spans="1:24" ht="12.75">
      <c r="A160" t="s">
        <v>221</v>
      </c>
      <c r="B160" t="s">
        <v>220</v>
      </c>
      <c r="C160" s="59" t="s">
        <v>465</v>
      </c>
      <c r="D160" s="18">
        <v>2301</v>
      </c>
      <c r="F160" s="56">
        <v>0</v>
      </c>
      <c r="H160" s="18">
        <f t="shared" si="8"/>
        <v>0</v>
      </c>
      <c r="J160" s="61">
        <v>7800.17</v>
      </c>
      <c r="N160" s="1">
        <f t="shared" si="10"/>
        <v>0</v>
      </c>
      <c r="P160" s="4">
        <f t="shared" si="9"/>
        <v>0</v>
      </c>
      <c r="Q160" s="22"/>
      <c r="R160" s="48">
        <v>32</v>
      </c>
      <c r="S160" s="61">
        <v>7800.17</v>
      </c>
      <c r="T160" s="4">
        <f t="shared" si="11"/>
        <v>249605.44</v>
      </c>
      <c r="V160" s="39"/>
      <c r="W160" s="1"/>
      <c r="X160" s="1"/>
    </row>
    <row r="161" spans="1:24" ht="12.75">
      <c r="A161" t="s">
        <v>222</v>
      </c>
      <c r="B161" t="s">
        <v>223</v>
      </c>
      <c r="C161" s="59" t="s">
        <v>466</v>
      </c>
      <c r="D161" s="18">
        <v>362.9</v>
      </c>
      <c r="F161" s="56">
        <v>0</v>
      </c>
      <c r="H161" s="18">
        <f t="shared" si="8"/>
        <v>0</v>
      </c>
      <c r="J161" s="61">
        <v>10174.24</v>
      </c>
      <c r="N161" s="1">
        <f t="shared" si="10"/>
        <v>0</v>
      </c>
      <c r="P161" s="4">
        <f t="shared" si="9"/>
        <v>0</v>
      </c>
      <c r="Q161" s="22"/>
      <c r="R161" s="48">
        <v>4</v>
      </c>
      <c r="S161" s="61">
        <v>10174.24</v>
      </c>
      <c r="T161" s="4">
        <f t="shared" si="11"/>
        <v>40696.96</v>
      </c>
      <c r="V161" s="39"/>
      <c r="W161" s="1"/>
      <c r="X161" s="1"/>
    </row>
    <row r="162" spans="1:24" ht="12.75">
      <c r="A162" t="s">
        <v>224</v>
      </c>
      <c r="B162" t="s">
        <v>223</v>
      </c>
      <c r="C162" s="59" t="s">
        <v>467</v>
      </c>
      <c r="D162" s="18">
        <v>105.6</v>
      </c>
      <c r="F162" s="56">
        <v>0</v>
      </c>
      <c r="H162" s="18">
        <f t="shared" si="8"/>
        <v>0</v>
      </c>
      <c r="J162" s="61">
        <v>15620.51</v>
      </c>
      <c r="N162" s="1">
        <f t="shared" si="10"/>
        <v>0</v>
      </c>
      <c r="P162" s="4">
        <f t="shared" si="9"/>
        <v>0</v>
      </c>
      <c r="Q162" s="22"/>
      <c r="R162" s="48">
        <v>4</v>
      </c>
      <c r="S162" s="61">
        <v>15620.51</v>
      </c>
      <c r="T162" s="4">
        <f t="shared" si="11"/>
        <v>62482.04</v>
      </c>
      <c r="V162" s="39"/>
      <c r="W162" s="1"/>
      <c r="X162" s="1"/>
    </row>
    <row r="163" spans="1:24" ht="12.75">
      <c r="A163" t="s">
        <v>225</v>
      </c>
      <c r="B163" t="s">
        <v>223</v>
      </c>
      <c r="C163" s="59" t="s">
        <v>468</v>
      </c>
      <c r="D163" s="18">
        <v>226.3</v>
      </c>
      <c r="F163" s="56">
        <v>0</v>
      </c>
      <c r="H163" s="18">
        <f t="shared" si="8"/>
        <v>0</v>
      </c>
      <c r="J163" s="61">
        <v>12388.77</v>
      </c>
      <c r="N163" s="1">
        <f t="shared" si="10"/>
        <v>0</v>
      </c>
      <c r="P163" s="4">
        <f t="shared" si="9"/>
        <v>0</v>
      </c>
      <c r="Q163" s="22"/>
      <c r="R163" s="48">
        <v>9</v>
      </c>
      <c r="S163" s="61">
        <v>12388.77</v>
      </c>
      <c r="T163" s="4">
        <f t="shared" si="11"/>
        <v>111498.93000000001</v>
      </c>
      <c r="V163" s="39"/>
      <c r="W163" s="1"/>
      <c r="X163" s="1"/>
    </row>
    <row r="164" spans="1:24" ht="12.75">
      <c r="A164" t="s">
        <v>226</v>
      </c>
      <c r="B164" t="s">
        <v>223</v>
      </c>
      <c r="C164" s="59" t="s">
        <v>469</v>
      </c>
      <c r="D164" s="18">
        <v>117.6</v>
      </c>
      <c r="F164" s="56">
        <v>0</v>
      </c>
      <c r="H164" s="18">
        <f t="shared" si="8"/>
        <v>0</v>
      </c>
      <c r="J164" s="61">
        <v>15304.35</v>
      </c>
      <c r="N164" s="1">
        <f t="shared" si="10"/>
        <v>0</v>
      </c>
      <c r="P164" s="4">
        <f t="shared" si="9"/>
        <v>0</v>
      </c>
      <c r="Q164" s="22"/>
      <c r="R164" s="48">
        <v>0</v>
      </c>
      <c r="S164" s="61">
        <v>15304.35</v>
      </c>
      <c r="T164" s="4">
        <f t="shared" si="11"/>
        <v>0</v>
      </c>
      <c r="V164" s="39"/>
      <c r="W164" s="1"/>
      <c r="X164" s="1"/>
    </row>
    <row r="165" spans="1:24" ht="12.75">
      <c r="A165" t="s">
        <v>227</v>
      </c>
      <c r="B165" t="s">
        <v>223</v>
      </c>
      <c r="C165" s="59" t="s">
        <v>470</v>
      </c>
      <c r="D165" s="18">
        <v>93.5</v>
      </c>
      <c r="F165" s="56">
        <v>0</v>
      </c>
      <c r="H165" s="18">
        <f t="shared" si="8"/>
        <v>0</v>
      </c>
      <c r="J165" s="61">
        <v>15883.23</v>
      </c>
      <c r="N165" s="1">
        <f t="shared" si="10"/>
        <v>0</v>
      </c>
      <c r="P165" s="4">
        <f t="shared" si="9"/>
        <v>0</v>
      </c>
      <c r="Q165" s="22"/>
      <c r="R165" s="48">
        <v>2</v>
      </c>
      <c r="S165" s="61">
        <v>15883.23</v>
      </c>
      <c r="T165" s="4">
        <f t="shared" si="11"/>
        <v>31766.46</v>
      </c>
      <c r="V165" s="39"/>
      <c r="W165" s="1"/>
      <c r="X165" s="1"/>
    </row>
    <row r="166" spans="1:24" ht="12.75">
      <c r="A166" t="s">
        <v>228</v>
      </c>
      <c r="B166" t="s">
        <v>229</v>
      </c>
      <c r="C166" s="80" t="s">
        <v>496</v>
      </c>
      <c r="D166" s="18">
        <v>1857.6999999999998</v>
      </c>
      <c r="F166" s="56">
        <v>0</v>
      </c>
      <c r="H166" s="18">
        <f t="shared" si="8"/>
        <v>0</v>
      </c>
      <c r="J166" s="61">
        <v>8001.09</v>
      </c>
      <c r="N166" s="1">
        <f t="shared" si="10"/>
        <v>0</v>
      </c>
      <c r="P166" s="4">
        <f t="shared" si="9"/>
        <v>0</v>
      </c>
      <c r="Q166" s="22"/>
      <c r="R166" s="48">
        <v>38.5</v>
      </c>
      <c r="S166" s="61">
        <v>8001.09</v>
      </c>
      <c r="T166" s="4">
        <f t="shared" si="11"/>
        <v>308041.965</v>
      </c>
      <c r="V166" s="39"/>
      <c r="W166" s="1"/>
      <c r="X166" s="1"/>
    </row>
    <row r="167" spans="1:24" ht="12.75">
      <c r="A167" t="s">
        <v>230</v>
      </c>
      <c r="B167" t="s">
        <v>229</v>
      </c>
      <c r="C167" s="59" t="s">
        <v>471</v>
      </c>
      <c r="D167" s="18">
        <v>1911.4</v>
      </c>
      <c r="F167" s="56">
        <v>0</v>
      </c>
      <c r="H167" s="18">
        <f t="shared" si="8"/>
        <v>0</v>
      </c>
      <c r="J167" s="61">
        <v>7798.48</v>
      </c>
      <c r="N167" s="1">
        <f t="shared" si="10"/>
        <v>0</v>
      </c>
      <c r="P167" s="4">
        <f t="shared" si="9"/>
        <v>0</v>
      </c>
      <c r="Q167" s="22"/>
      <c r="R167" s="48">
        <v>34</v>
      </c>
      <c r="S167" s="61">
        <v>7798.48</v>
      </c>
      <c r="T167" s="4">
        <f t="shared" si="11"/>
        <v>265148.32</v>
      </c>
      <c r="V167" s="39"/>
      <c r="W167" s="1"/>
      <c r="X167" s="1"/>
    </row>
    <row r="168" spans="1:24" ht="12.75">
      <c r="A168" t="s">
        <v>231</v>
      </c>
      <c r="B168" t="s">
        <v>229</v>
      </c>
      <c r="C168" s="59" t="s">
        <v>472</v>
      </c>
      <c r="D168" s="18">
        <v>2347</v>
      </c>
      <c r="F168" s="56">
        <v>174.6</v>
      </c>
      <c r="H168" s="18">
        <f t="shared" si="8"/>
        <v>174.6</v>
      </c>
      <c r="J168" s="61">
        <v>7779.76</v>
      </c>
      <c r="N168" s="1">
        <f t="shared" si="10"/>
        <v>1358346.096</v>
      </c>
      <c r="P168" s="4">
        <f t="shared" si="9"/>
        <v>1358346.096</v>
      </c>
      <c r="Q168" s="22"/>
      <c r="R168" s="48">
        <v>44.5</v>
      </c>
      <c r="S168" s="61">
        <v>7779.76</v>
      </c>
      <c r="T168" s="4">
        <f t="shared" si="11"/>
        <v>346199.32</v>
      </c>
      <c r="V168" s="39"/>
      <c r="W168" s="1"/>
      <c r="X168" s="1"/>
    </row>
    <row r="169" spans="1:24" ht="12.75">
      <c r="A169" t="s">
        <v>232</v>
      </c>
      <c r="B169" t="s">
        <v>229</v>
      </c>
      <c r="C169" s="59" t="s">
        <v>473</v>
      </c>
      <c r="D169" s="18">
        <v>6430</v>
      </c>
      <c r="F169" s="56">
        <v>1205.7</v>
      </c>
      <c r="H169" s="18">
        <f t="shared" si="8"/>
        <v>1205.7</v>
      </c>
      <c r="J169" s="61">
        <v>7713.84</v>
      </c>
      <c r="N169" s="1">
        <f t="shared" si="10"/>
        <v>9300576.888</v>
      </c>
      <c r="P169" s="4">
        <f t="shared" si="9"/>
        <v>9300576.888</v>
      </c>
      <c r="Q169" s="22"/>
      <c r="R169" s="48">
        <v>23</v>
      </c>
      <c r="S169" s="61">
        <v>7713.84</v>
      </c>
      <c r="T169" s="4">
        <f t="shared" si="11"/>
        <v>177418.32</v>
      </c>
      <c r="V169" s="39"/>
      <c r="W169" s="1"/>
      <c r="X169" s="1"/>
    </row>
    <row r="170" spans="1:24" ht="12.75">
      <c r="A170" t="s">
        <v>233</v>
      </c>
      <c r="B170" t="s">
        <v>229</v>
      </c>
      <c r="C170" s="59" t="s">
        <v>474</v>
      </c>
      <c r="D170" s="18">
        <v>3789.9</v>
      </c>
      <c r="F170" s="56">
        <v>389.5</v>
      </c>
      <c r="H170" s="18">
        <f t="shared" si="8"/>
        <v>389.5</v>
      </c>
      <c r="J170" s="61">
        <v>7713.84</v>
      </c>
      <c r="N170" s="1">
        <f t="shared" si="10"/>
        <v>3004540.68</v>
      </c>
      <c r="P170" s="4">
        <f t="shared" si="9"/>
        <v>3004540.68</v>
      </c>
      <c r="Q170" s="22"/>
      <c r="R170" s="48">
        <v>48</v>
      </c>
      <c r="S170" s="61">
        <v>7713.84</v>
      </c>
      <c r="T170" s="4">
        <f t="shared" si="11"/>
        <v>370264.32</v>
      </c>
      <c r="V170" s="39"/>
      <c r="W170" s="1"/>
      <c r="X170" s="1"/>
    </row>
    <row r="171" spans="1:24" ht="12.75">
      <c r="A171" t="s">
        <v>234</v>
      </c>
      <c r="B171" t="s">
        <v>229</v>
      </c>
      <c r="C171" s="59" t="s">
        <v>475</v>
      </c>
      <c r="D171" s="18">
        <v>21751.4</v>
      </c>
      <c r="F171" s="56">
        <v>5142.2</v>
      </c>
      <c r="H171" s="18">
        <f t="shared" si="8"/>
        <v>5142.2</v>
      </c>
      <c r="J171" s="61">
        <v>7974.35</v>
      </c>
      <c r="N171" s="1">
        <f t="shared" si="10"/>
        <v>41005702.57</v>
      </c>
      <c r="P171" s="4">
        <f t="shared" si="9"/>
        <v>41005702.57</v>
      </c>
      <c r="Q171" s="22"/>
      <c r="R171" s="48">
        <v>302.5</v>
      </c>
      <c r="S171" s="61">
        <v>7974.35</v>
      </c>
      <c r="T171" s="4">
        <f t="shared" si="11"/>
        <v>2412240.875</v>
      </c>
      <c r="V171" s="39"/>
      <c r="W171" s="1"/>
      <c r="X171" s="1"/>
    </row>
    <row r="172" spans="1:24" ht="12.75">
      <c r="A172" t="s">
        <v>235</v>
      </c>
      <c r="B172" t="s">
        <v>229</v>
      </c>
      <c r="C172" s="59" t="s">
        <v>476</v>
      </c>
      <c r="D172" s="18">
        <v>1118.3000000000002</v>
      </c>
      <c r="F172" s="56">
        <v>0</v>
      </c>
      <c r="H172" s="18">
        <f t="shared" si="8"/>
        <v>0</v>
      </c>
      <c r="J172" s="61">
        <v>8667.26</v>
      </c>
      <c r="N172" s="1">
        <f t="shared" si="10"/>
        <v>0</v>
      </c>
      <c r="P172" s="4">
        <f t="shared" si="9"/>
        <v>0</v>
      </c>
      <c r="Q172" s="22"/>
      <c r="R172" s="48">
        <v>25</v>
      </c>
      <c r="S172" s="61">
        <v>8667.26</v>
      </c>
      <c r="T172" s="4">
        <f t="shared" si="11"/>
        <v>216681.5</v>
      </c>
      <c r="V172" s="39"/>
      <c r="W172" s="1"/>
      <c r="X172" s="1"/>
    </row>
    <row r="173" spans="1:24" ht="12.75">
      <c r="A173" t="s">
        <v>236</v>
      </c>
      <c r="B173" t="s">
        <v>229</v>
      </c>
      <c r="C173" s="59" t="s">
        <v>477</v>
      </c>
      <c r="D173" s="18">
        <v>2325.5</v>
      </c>
      <c r="F173" s="56">
        <v>0</v>
      </c>
      <c r="H173" s="18">
        <f t="shared" si="8"/>
        <v>0</v>
      </c>
      <c r="J173" s="61">
        <v>8290.57</v>
      </c>
      <c r="N173" s="1">
        <f t="shared" si="10"/>
        <v>0</v>
      </c>
      <c r="P173" s="4">
        <f t="shared" si="9"/>
        <v>0</v>
      </c>
      <c r="Q173" s="22"/>
      <c r="R173" s="48">
        <v>91</v>
      </c>
      <c r="S173" s="61">
        <v>8290.57</v>
      </c>
      <c r="T173" s="4">
        <f t="shared" si="11"/>
        <v>754441.87</v>
      </c>
      <c r="V173" s="39"/>
      <c r="W173" s="1"/>
      <c r="X173" s="1"/>
    </row>
    <row r="174" spans="1:24" ht="12.75">
      <c r="A174" t="s">
        <v>237</v>
      </c>
      <c r="B174" t="s">
        <v>229</v>
      </c>
      <c r="C174" s="59" t="s">
        <v>478</v>
      </c>
      <c r="D174" s="18">
        <v>924.4</v>
      </c>
      <c r="F174" s="56">
        <v>0</v>
      </c>
      <c r="H174" s="18">
        <f t="shared" si="8"/>
        <v>0</v>
      </c>
      <c r="J174" s="61">
        <v>8379.23</v>
      </c>
      <c r="N174" s="1">
        <f t="shared" si="10"/>
        <v>0</v>
      </c>
      <c r="P174" s="4">
        <f t="shared" si="9"/>
        <v>0</v>
      </c>
      <c r="Q174" s="22"/>
      <c r="R174" s="48">
        <v>16</v>
      </c>
      <c r="S174" s="61">
        <v>8379.23</v>
      </c>
      <c r="T174" s="4">
        <f t="shared" si="11"/>
        <v>134067.68</v>
      </c>
      <c r="V174" s="39"/>
      <c r="W174" s="1"/>
      <c r="X174" s="1"/>
    </row>
    <row r="175" spans="1:24" ht="12.75">
      <c r="A175" t="s">
        <v>238</v>
      </c>
      <c r="B175" t="s">
        <v>229</v>
      </c>
      <c r="C175" s="59" t="s">
        <v>479</v>
      </c>
      <c r="D175" s="18">
        <v>167.5</v>
      </c>
      <c r="F175" s="56">
        <v>0</v>
      </c>
      <c r="H175" s="18">
        <f t="shared" si="8"/>
        <v>0</v>
      </c>
      <c r="J175" s="61">
        <v>13887.63</v>
      </c>
      <c r="N175" s="1">
        <f t="shared" si="10"/>
        <v>0</v>
      </c>
      <c r="P175" s="4">
        <f t="shared" si="9"/>
        <v>0</v>
      </c>
      <c r="Q175" s="22"/>
      <c r="R175" s="48">
        <v>3.5</v>
      </c>
      <c r="S175" s="61">
        <v>13887.63</v>
      </c>
      <c r="T175" s="4">
        <f t="shared" si="11"/>
        <v>48606.704999999994</v>
      </c>
      <c r="V175" s="39"/>
      <c r="W175" s="1"/>
      <c r="X175" s="1"/>
    </row>
    <row r="176" spans="1:24" ht="12.75">
      <c r="A176" t="s">
        <v>239</v>
      </c>
      <c r="B176" t="s">
        <v>229</v>
      </c>
      <c r="C176" s="59" t="s">
        <v>480</v>
      </c>
      <c r="D176" s="18">
        <v>194.20000000000002</v>
      </c>
      <c r="F176" s="56">
        <v>0</v>
      </c>
      <c r="H176" s="18">
        <f t="shared" si="8"/>
        <v>0</v>
      </c>
      <c r="J176" s="61">
        <v>13055.18</v>
      </c>
      <c r="N176" s="1">
        <f t="shared" si="10"/>
        <v>0</v>
      </c>
      <c r="P176" s="4">
        <f t="shared" si="9"/>
        <v>0</v>
      </c>
      <c r="Q176" s="22"/>
      <c r="R176" s="48">
        <v>2.5</v>
      </c>
      <c r="S176" s="61">
        <v>13055.18</v>
      </c>
      <c r="T176" s="4">
        <f t="shared" si="11"/>
        <v>32637.95</v>
      </c>
      <c r="V176" s="39"/>
      <c r="W176" s="1"/>
      <c r="X176" s="1"/>
    </row>
    <row r="177" spans="1:24" ht="12.75">
      <c r="A177" t="s">
        <v>240</v>
      </c>
      <c r="B177" t="s">
        <v>229</v>
      </c>
      <c r="C177" s="59" t="s">
        <v>481</v>
      </c>
      <c r="D177" s="18">
        <v>78.7</v>
      </c>
      <c r="F177" s="56">
        <v>0</v>
      </c>
      <c r="H177" s="18">
        <f t="shared" si="8"/>
        <v>0</v>
      </c>
      <c r="J177" s="61">
        <v>17446.83</v>
      </c>
      <c r="N177" s="1">
        <f t="shared" si="10"/>
        <v>0</v>
      </c>
      <c r="P177" s="4">
        <f t="shared" si="9"/>
        <v>0</v>
      </c>
      <c r="Q177" s="22"/>
      <c r="R177" s="48">
        <v>3.5</v>
      </c>
      <c r="S177" s="61">
        <v>17446.83</v>
      </c>
      <c r="T177" s="4">
        <f t="shared" si="11"/>
        <v>61063.905000000006</v>
      </c>
      <c r="V177" s="39"/>
      <c r="W177" s="1"/>
      <c r="X177" s="1"/>
    </row>
    <row r="178" spans="1:24" ht="12.75">
      <c r="A178" s="3">
        <v>3200</v>
      </c>
      <c r="B178" t="s">
        <v>241</v>
      </c>
      <c r="C178" s="59" t="s">
        <v>242</v>
      </c>
      <c r="D178" s="18">
        <v>797.2</v>
      </c>
      <c r="F178" s="56">
        <v>0</v>
      </c>
      <c r="H178" s="18">
        <f t="shared" si="8"/>
        <v>0</v>
      </c>
      <c r="J178" s="61">
        <v>9016</v>
      </c>
      <c r="N178" s="1">
        <f t="shared" si="10"/>
        <v>0</v>
      </c>
      <c r="P178" s="4">
        <f t="shared" si="9"/>
        <v>0</v>
      </c>
      <c r="Q178" s="22"/>
      <c r="R178" s="48">
        <v>15</v>
      </c>
      <c r="S178" s="61">
        <v>9016</v>
      </c>
      <c r="T178" s="4">
        <f t="shared" si="11"/>
        <v>135240</v>
      </c>
      <c r="V178" s="39"/>
      <c r="W178" s="1"/>
      <c r="X178" s="1"/>
    </row>
    <row r="179" spans="1:24" ht="12.75">
      <c r="A179" s="3">
        <v>3210</v>
      </c>
      <c r="B179" t="s">
        <v>241</v>
      </c>
      <c r="C179" s="59" t="s">
        <v>243</v>
      </c>
      <c r="D179" s="18">
        <v>677.6</v>
      </c>
      <c r="F179" s="56">
        <v>0</v>
      </c>
      <c r="H179" s="18">
        <f t="shared" si="8"/>
        <v>0</v>
      </c>
      <c r="J179" s="61">
        <v>8668.99</v>
      </c>
      <c r="N179" s="1">
        <f t="shared" si="10"/>
        <v>0</v>
      </c>
      <c r="P179" s="4">
        <f t="shared" si="9"/>
        <v>0</v>
      </c>
      <c r="Q179" s="22"/>
      <c r="R179" s="48">
        <v>11</v>
      </c>
      <c r="S179" s="61">
        <v>8668.99</v>
      </c>
      <c r="T179" s="4">
        <f t="shared" si="11"/>
        <v>95358.89</v>
      </c>
      <c r="V179" s="39"/>
      <c r="W179" s="1"/>
      <c r="X179" s="1"/>
    </row>
    <row r="180" spans="1:24" ht="12.75">
      <c r="A180" s="3">
        <v>3220</v>
      </c>
      <c r="B180" t="s">
        <v>241</v>
      </c>
      <c r="C180" s="59" t="s">
        <v>244</v>
      </c>
      <c r="D180" s="18">
        <v>198.8</v>
      </c>
      <c r="F180" s="56">
        <v>0</v>
      </c>
      <c r="H180" s="18">
        <f t="shared" si="8"/>
        <v>0</v>
      </c>
      <c r="J180" s="61">
        <v>13222.41</v>
      </c>
      <c r="N180" s="1">
        <f t="shared" si="10"/>
        <v>0</v>
      </c>
      <c r="P180" s="4">
        <f t="shared" si="9"/>
        <v>0</v>
      </c>
      <c r="Q180" s="22"/>
      <c r="R180" s="48">
        <v>5.5</v>
      </c>
      <c r="S180" s="61">
        <v>13222.41</v>
      </c>
      <c r="T180" s="4">
        <f t="shared" si="11"/>
        <v>72723.255</v>
      </c>
      <c r="V180" s="39"/>
      <c r="W180" s="1"/>
      <c r="X180" s="1"/>
    </row>
    <row r="181" spans="1:24" ht="12.75">
      <c r="A181" s="3">
        <v>3230</v>
      </c>
      <c r="B181" t="s">
        <v>241</v>
      </c>
      <c r="C181" s="59" t="s">
        <v>245</v>
      </c>
      <c r="D181" s="18">
        <v>63.3</v>
      </c>
      <c r="F181" s="56">
        <v>0</v>
      </c>
      <c r="H181" s="18">
        <f t="shared" si="8"/>
        <v>0</v>
      </c>
      <c r="J181" s="61">
        <v>17076.72</v>
      </c>
      <c r="N181" s="1">
        <f t="shared" si="10"/>
        <v>0</v>
      </c>
      <c r="P181" s="4">
        <f t="shared" si="9"/>
        <v>0</v>
      </c>
      <c r="Q181" s="22"/>
      <c r="R181" s="48">
        <v>3.5</v>
      </c>
      <c r="S181" s="61">
        <v>17076.72</v>
      </c>
      <c r="T181" s="4">
        <f t="shared" si="11"/>
        <v>59768.520000000004</v>
      </c>
      <c r="V181" s="39"/>
      <c r="W181" s="1"/>
      <c r="X181" s="1"/>
    </row>
    <row r="182" spans="1:23" ht="12.75">
      <c r="A182" s="3">
        <v>8001</v>
      </c>
      <c r="B182" t="s">
        <v>303</v>
      </c>
      <c r="C182" t="s">
        <v>304</v>
      </c>
      <c r="D182" s="18">
        <v>16722.5</v>
      </c>
      <c r="F182" s="18">
        <v>0</v>
      </c>
      <c r="H182" s="18">
        <f t="shared" si="8"/>
        <v>0</v>
      </c>
      <c r="J182" s="1" t="s">
        <v>511</v>
      </c>
      <c r="N182" s="1">
        <v>114390143.71000002</v>
      </c>
      <c r="O182" s="1">
        <f>G182*L182</f>
        <v>0</v>
      </c>
      <c r="P182" s="4">
        <f t="shared" si="9"/>
        <v>114390143.71000002</v>
      </c>
      <c r="Q182" s="22"/>
      <c r="R182" s="98">
        <v>183.5</v>
      </c>
      <c r="S182" s="11" t="s">
        <v>511</v>
      </c>
      <c r="T182" s="77">
        <f>SUM(T183:T189)</f>
        <v>1502858.899609865</v>
      </c>
      <c r="V182" s="39"/>
      <c r="W182" s="1"/>
    </row>
    <row r="183" spans="1:23" ht="12.75">
      <c r="A183" s="3"/>
      <c r="C183" s="80" t="s">
        <v>529</v>
      </c>
      <c r="D183" s="18"/>
      <c r="F183" s="18"/>
      <c r="H183" s="18"/>
      <c r="P183" s="4"/>
      <c r="Q183" s="22"/>
      <c r="R183" s="99">
        <v>1</v>
      </c>
      <c r="S183" s="100">
        <v>8124.76082552</v>
      </c>
      <c r="T183" s="101">
        <f aca="true" t="shared" si="12" ref="T183:T192">R183*S183</f>
        <v>8124.76082552</v>
      </c>
      <c r="V183" s="39"/>
      <c r="W183" s="1"/>
    </row>
    <row r="184" spans="1:23" ht="12.75">
      <c r="A184" s="3"/>
      <c r="C184" s="80" t="s">
        <v>516</v>
      </c>
      <c r="D184" s="18"/>
      <c r="F184" s="18"/>
      <c r="H184" s="18"/>
      <c r="P184" s="4"/>
      <c r="Q184" s="22"/>
      <c r="R184" s="99">
        <v>50.5</v>
      </c>
      <c r="S184" s="100">
        <v>8321.192512380001</v>
      </c>
      <c r="T184" s="101">
        <f t="shared" si="12"/>
        <v>420220.22187519004</v>
      </c>
      <c r="V184" s="39"/>
      <c r="W184" s="1"/>
    </row>
    <row r="185" spans="1:23" ht="12.75">
      <c r="A185" s="3"/>
      <c r="C185" s="80" t="s">
        <v>517</v>
      </c>
      <c r="D185" s="18"/>
      <c r="F185" s="18"/>
      <c r="H185" s="18"/>
      <c r="P185" s="4"/>
      <c r="Q185" s="22"/>
      <c r="R185" s="99">
        <v>58.5</v>
      </c>
      <c r="S185" s="100">
        <v>7920.511274569999</v>
      </c>
      <c r="T185" s="101">
        <f t="shared" si="12"/>
        <v>463349.90956234495</v>
      </c>
      <c r="V185" s="39"/>
      <c r="W185" s="1"/>
    </row>
    <row r="186" spans="1:23" ht="12.75">
      <c r="A186" s="3"/>
      <c r="C186" s="80" t="s">
        <v>530</v>
      </c>
      <c r="D186" s="18"/>
      <c r="F186" s="18"/>
      <c r="H186" s="18"/>
      <c r="P186" s="4"/>
      <c r="Q186" s="22"/>
      <c r="R186" s="99">
        <v>0.5</v>
      </c>
      <c r="S186" s="100">
        <v>8136.968051860001</v>
      </c>
      <c r="T186" s="101">
        <f t="shared" si="12"/>
        <v>4068.4840259300004</v>
      </c>
      <c r="V186" s="39"/>
      <c r="W186" s="1"/>
    </row>
    <row r="187" spans="1:22" ht="12.75">
      <c r="A187" s="3"/>
      <c r="C187" s="80" t="s">
        <v>522</v>
      </c>
      <c r="D187" s="18"/>
      <c r="F187" s="18"/>
      <c r="H187" s="18"/>
      <c r="P187" s="4"/>
      <c r="Q187" s="22"/>
      <c r="R187" s="99">
        <v>59</v>
      </c>
      <c r="S187" s="100">
        <v>8224.31657897</v>
      </c>
      <c r="T187" s="101">
        <f t="shared" si="12"/>
        <v>485234.67815923</v>
      </c>
      <c r="V187" s="39"/>
    </row>
    <row r="188" spans="1:22" ht="12.75">
      <c r="A188" s="3"/>
      <c r="C188" s="80" t="s">
        <v>527</v>
      </c>
      <c r="D188" s="18"/>
      <c r="F188" s="18"/>
      <c r="H188" s="18"/>
      <c r="P188" s="4"/>
      <c r="Q188" s="22"/>
      <c r="R188" s="99">
        <v>10.5</v>
      </c>
      <c r="S188" s="100">
        <v>8897.49657897</v>
      </c>
      <c r="T188" s="101">
        <f>R188*S188</f>
        <v>93423.714079185</v>
      </c>
      <c r="V188" s="39"/>
    </row>
    <row r="189" spans="1:22" ht="12.75">
      <c r="A189" s="3"/>
      <c r="C189" s="80" t="s">
        <v>536</v>
      </c>
      <c r="D189" s="18"/>
      <c r="F189" s="18"/>
      <c r="H189" s="18"/>
      <c r="P189" s="4"/>
      <c r="Q189" s="22"/>
      <c r="R189" s="99">
        <v>3.5</v>
      </c>
      <c r="S189" s="100">
        <v>8124.894594989998</v>
      </c>
      <c r="T189" s="101">
        <f>R189*S189</f>
        <v>28437.13108246499</v>
      </c>
      <c r="V189" s="39"/>
    </row>
    <row r="190" spans="1:22" ht="12.75">
      <c r="A190" s="108">
        <v>8041</v>
      </c>
      <c r="B190" s="108">
        <v>8041</v>
      </c>
      <c r="C190" s="109" t="s">
        <v>523</v>
      </c>
      <c r="D190" s="1">
        <v>0</v>
      </c>
      <c r="F190" s="18">
        <v>0</v>
      </c>
      <c r="H190" s="18">
        <f>F190-G190</f>
        <v>0</v>
      </c>
      <c r="J190" s="1">
        <v>0</v>
      </c>
      <c r="N190" s="1">
        <f>H190*J190</f>
        <v>0</v>
      </c>
      <c r="P190" s="4">
        <f>N190+O190</f>
        <v>0</v>
      </c>
      <c r="Q190" s="22"/>
      <c r="R190">
        <v>0</v>
      </c>
      <c r="S190" s="60"/>
      <c r="T190" s="4">
        <f t="shared" si="12"/>
        <v>0</v>
      </c>
      <c r="V190" s="39"/>
    </row>
    <row r="191" spans="1:22" ht="12.75">
      <c r="A191" s="108">
        <v>8042</v>
      </c>
      <c r="B191" s="108">
        <v>8042</v>
      </c>
      <c r="C191" s="109" t="s">
        <v>524</v>
      </c>
      <c r="D191" s="1">
        <v>0</v>
      </c>
      <c r="F191" s="18">
        <v>0</v>
      </c>
      <c r="H191" s="18">
        <f>F191-G191</f>
        <v>0</v>
      </c>
      <c r="J191" s="1">
        <v>0</v>
      </c>
      <c r="N191" s="1">
        <f>H191*J191</f>
        <v>0</v>
      </c>
      <c r="P191" s="4">
        <f>N191+O191</f>
        <v>0</v>
      </c>
      <c r="Q191" s="22"/>
      <c r="R191">
        <v>0</v>
      </c>
      <c r="S191" s="60"/>
      <c r="T191" s="4">
        <f t="shared" si="12"/>
        <v>0</v>
      </c>
      <c r="V191" s="39"/>
    </row>
    <row r="192" spans="1:22" ht="12.75">
      <c r="A192" s="108">
        <v>9025</v>
      </c>
      <c r="B192" s="108">
        <v>9025</v>
      </c>
      <c r="C192" s="109" t="s">
        <v>247</v>
      </c>
      <c r="D192" s="1">
        <v>0</v>
      </c>
      <c r="F192" s="18">
        <v>0</v>
      </c>
      <c r="H192" s="18">
        <f>F192-G192</f>
        <v>0</v>
      </c>
      <c r="J192" s="1">
        <v>0</v>
      </c>
      <c r="N192" s="1">
        <f>H192*J192</f>
        <v>0</v>
      </c>
      <c r="P192" s="4">
        <f>N192+O192</f>
        <v>0</v>
      </c>
      <c r="Q192" s="22"/>
      <c r="R192">
        <v>0</v>
      </c>
      <c r="S192" s="60"/>
      <c r="T192" s="4">
        <f t="shared" si="12"/>
        <v>0</v>
      </c>
      <c r="V192" s="39"/>
    </row>
    <row r="193" spans="1:22" ht="12.75">
      <c r="A193" s="3">
        <v>9030</v>
      </c>
      <c r="B193" s="3">
        <v>9030</v>
      </c>
      <c r="C193" t="s">
        <v>248</v>
      </c>
      <c r="D193" s="1">
        <v>0</v>
      </c>
      <c r="F193" s="18">
        <v>0</v>
      </c>
      <c r="H193" s="18">
        <f t="shared" si="8"/>
        <v>0</v>
      </c>
      <c r="J193" s="1">
        <v>0</v>
      </c>
      <c r="N193" s="1">
        <f t="shared" si="10"/>
        <v>0</v>
      </c>
      <c r="P193" s="4">
        <f aca="true" t="shared" si="13" ref="P193:P210">N193+O193</f>
        <v>0</v>
      </c>
      <c r="Q193" s="22"/>
      <c r="R193">
        <v>0</v>
      </c>
      <c r="S193" s="60"/>
      <c r="T193" s="4">
        <f t="shared" si="11"/>
        <v>0</v>
      </c>
      <c r="V193" s="39"/>
    </row>
    <row r="194" spans="1:22" ht="12.75">
      <c r="A194" s="3">
        <v>9035</v>
      </c>
      <c r="B194" s="3">
        <v>9035</v>
      </c>
      <c r="C194" t="s">
        <v>249</v>
      </c>
      <c r="D194" s="1">
        <v>0</v>
      </c>
      <c r="F194" s="18">
        <v>0</v>
      </c>
      <c r="H194" s="18">
        <f t="shared" si="8"/>
        <v>0</v>
      </c>
      <c r="J194" s="1">
        <v>0</v>
      </c>
      <c r="N194" s="1">
        <f t="shared" si="10"/>
        <v>0</v>
      </c>
      <c r="P194" s="4">
        <f t="shared" si="13"/>
        <v>0</v>
      </c>
      <c r="Q194" s="22"/>
      <c r="R194">
        <v>0</v>
      </c>
      <c r="S194" s="60"/>
      <c r="T194" s="4">
        <f t="shared" si="11"/>
        <v>0</v>
      </c>
      <c r="V194" s="39"/>
    </row>
    <row r="195" spans="1:22" ht="12.75">
      <c r="A195" s="3">
        <v>9040</v>
      </c>
      <c r="B195" s="3">
        <v>9040</v>
      </c>
      <c r="C195" t="s">
        <v>250</v>
      </c>
      <c r="D195" s="1">
        <v>0</v>
      </c>
      <c r="F195" s="18">
        <v>0</v>
      </c>
      <c r="H195" s="18">
        <f t="shared" si="8"/>
        <v>0</v>
      </c>
      <c r="J195" s="1">
        <v>0</v>
      </c>
      <c r="N195" s="1">
        <f t="shared" si="10"/>
        <v>0</v>
      </c>
      <c r="P195" s="4">
        <f t="shared" si="13"/>
        <v>0</v>
      </c>
      <c r="Q195" s="22"/>
      <c r="R195">
        <v>0</v>
      </c>
      <c r="S195" s="60"/>
      <c r="T195" s="4">
        <f t="shared" si="11"/>
        <v>0</v>
      </c>
      <c r="V195" s="39"/>
    </row>
    <row r="196" spans="1:22" ht="12.75">
      <c r="A196" s="3">
        <v>9045</v>
      </c>
      <c r="B196" s="3">
        <v>9045</v>
      </c>
      <c r="C196" t="s">
        <v>251</v>
      </c>
      <c r="D196" s="1">
        <v>0</v>
      </c>
      <c r="F196" s="18">
        <v>0</v>
      </c>
      <c r="H196" s="18">
        <f t="shared" si="8"/>
        <v>0</v>
      </c>
      <c r="J196" s="1">
        <v>0</v>
      </c>
      <c r="N196" s="1">
        <f t="shared" si="10"/>
        <v>0</v>
      </c>
      <c r="P196" s="4">
        <f t="shared" si="13"/>
        <v>0</v>
      </c>
      <c r="Q196" s="22"/>
      <c r="R196">
        <v>0</v>
      </c>
      <c r="S196" s="60"/>
      <c r="T196" s="4">
        <f t="shared" si="11"/>
        <v>0</v>
      </c>
      <c r="V196" s="39"/>
    </row>
    <row r="197" spans="1:22" ht="12.75">
      <c r="A197" s="3">
        <v>9050</v>
      </c>
      <c r="B197" s="3">
        <v>9050</v>
      </c>
      <c r="C197" t="s">
        <v>252</v>
      </c>
      <c r="D197" s="1">
        <v>0</v>
      </c>
      <c r="F197" s="18">
        <v>0</v>
      </c>
      <c r="H197" s="18">
        <f t="shared" si="8"/>
        <v>0</v>
      </c>
      <c r="J197" s="1">
        <v>0</v>
      </c>
      <c r="N197" s="1">
        <f t="shared" si="10"/>
        <v>0</v>
      </c>
      <c r="P197" s="4">
        <f t="shared" si="13"/>
        <v>0</v>
      </c>
      <c r="Q197" s="22"/>
      <c r="R197">
        <v>0</v>
      </c>
      <c r="S197" s="60"/>
      <c r="T197" s="4">
        <f t="shared" si="11"/>
        <v>0</v>
      </c>
      <c r="V197" s="39"/>
    </row>
    <row r="198" spans="1:22" ht="12.75">
      <c r="A198" s="3">
        <v>9055</v>
      </c>
      <c r="B198" s="3">
        <v>9055</v>
      </c>
      <c r="C198" t="s">
        <v>253</v>
      </c>
      <c r="D198" s="1">
        <v>0</v>
      </c>
      <c r="F198" s="18">
        <v>0</v>
      </c>
      <c r="H198" s="18">
        <f t="shared" si="8"/>
        <v>0</v>
      </c>
      <c r="J198" s="1">
        <v>0</v>
      </c>
      <c r="N198" s="1">
        <f t="shared" si="10"/>
        <v>0</v>
      </c>
      <c r="P198" s="4">
        <f t="shared" si="13"/>
        <v>0</v>
      </c>
      <c r="Q198" s="22"/>
      <c r="R198">
        <v>0</v>
      </c>
      <c r="S198" s="60"/>
      <c r="T198" s="4">
        <f t="shared" si="11"/>
        <v>0</v>
      </c>
      <c r="V198" s="39"/>
    </row>
    <row r="199" spans="1:22" ht="12.75">
      <c r="A199" s="3">
        <v>9060</v>
      </c>
      <c r="B199" s="3">
        <v>9060</v>
      </c>
      <c r="C199" t="s">
        <v>254</v>
      </c>
      <c r="D199" s="1">
        <v>0</v>
      </c>
      <c r="F199" s="18">
        <v>0</v>
      </c>
      <c r="H199" s="18">
        <f t="shared" si="8"/>
        <v>0</v>
      </c>
      <c r="J199" s="1">
        <v>0</v>
      </c>
      <c r="N199" s="1">
        <f t="shared" si="10"/>
        <v>0</v>
      </c>
      <c r="P199" s="4">
        <f t="shared" si="13"/>
        <v>0</v>
      </c>
      <c r="Q199" s="22"/>
      <c r="R199">
        <v>0</v>
      </c>
      <c r="S199" s="60"/>
      <c r="T199" s="4">
        <f t="shared" si="11"/>
        <v>0</v>
      </c>
      <c r="V199" s="39"/>
    </row>
    <row r="200" spans="1:22" ht="12.75">
      <c r="A200" s="3">
        <v>9075</v>
      </c>
      <c r="B200" s="3">
        <v>9075</v>
      </c>
      <c r="C200" t="s">
        <v>255</v>
      </c>
      <c r="D200" s="1">
        <v>0</v>
      </c>
      <c r="F200" s="18">
        <v>0</v>
      </c>
      <c r="H200" s="18">
        <f t="shared" si="8"/>
        <v>0</v>
      </c>
      <c r="J200" s="1">
        <v>0</v>
      </c>
      <c r="N200" s="1">
        <f t="shared" si="10"/>
        <v>0</v>
      </c>
      <c r="P200" s="4">
        <f t="shared" si="13"/>
        <v>0</v>
      </c>
      <c r="Q200" s="22"/>
      <c r="R200">
        <v>0</v>
      </c>
      <c r="S200" s="60"/>
      <c r="T200" s="4">
        <f t="shared" si="11"/>
        <v>0</v>
      </c>
      <c r="V200" s="39"/>
    </row>
    <row r="201" spans="1:22" ht="12.75">
      <c r="A201" s="3">
        <v>9095</v>
      </c>
      <c r="B201" s="3">
        <v>9095</v>
      </c>
      <c r="C201" t="s">
        <v>256</v>
      </c>
      <c r="D201" s="1">
        <v>0</v>
      </c>
      <c r="F201" s="18">
        <v>0</v>
      </c>
      <c r="H201" s="18">
        <f t="shared" si="8"/>
        <v>0</v>
      </c>
      <c r="J201" s="1">
        <v>0</v>
      </c>
      <c r="N201" s="1">
        <f t="shared" si="10"/>
        <v>0</v>
      </c>
      <c r="P201" s="4">
        <f t="shared" si="13"/>
        <v>0</v>
      </c>
      <c r="Q201" s="22"/>
      <c r="R201">
        <v>0</v>
      </c>
      <c r="S201" s="60"/>
      <c r="T201" s="4">
        <f t="shared" si="11"/>
        <v>0</v>
      </c>
      <c r="V201" s="39"/>
    </row>
    <row r="202" spans="1:22" ht="12.75">
      <c r="A202" s="3">
        <v>9120</v>
      </c>
      <c r="B202" s="3">
        <v>9120</v>
      </c>
      <c r="C202" t="s">
        <v>257</v>
      </c>
      <c r="D202" s="1">
        <v>0</v>
      </c>
      <c r="F202" s="18">
        <v>0</v>
      </c>
      <c r="H202" s="18">
        <f t="shared" si="8"/>
        <v>0</v>
      </c>
      <c r="J202" s="1">
        <v>0</v>
      </c>
      <c r="N202" s="1">
        <f t="shared" si="10"/>
        <v>0</v>
      </c>
      <c r="P202" s="4">
        <f t="shared" si="13"/>
        <v>0</v>
      </c>
      <c r="Q202" s="22"/>
      <c r="R202">
        <v>0</v>
      </c>
      <c r="S202" s="60"/>
      <c r="T202" s="4">
        <f t="shared" si="11"/>
        <v>0</v>
      </c>
      <c r="V202" s="39"/>
    </row>
    <row r="203" spans="1:22" ht="12.75">
      <c r="A203" s="3">
        <v>9125</v>
      </c>
      <c r="B203" s="3">
        <v>9125</v>
      </c>
      <c r="C203" t="s">
        <v>258</v>
      </c>
      <c r="D203" s="1">
        <v>0</v>
      </c>
      <c r="F203" s="18">
        <v>0</v>
      </c>
      <c r="H203" s="18">
        <f t="shared" si="8"/>
        <v>0</v>
      </c>
      <c r="J203" s="1">
        <v>0</v>
      </c>
      <c r="N203" s="1">
        <f t="shared" si="10"/>
        <v>0</v>
      </c>
      <c r="P203" s="4">
        <f t="shared" si="13"/>
        <v>0</v>
      </c>
      <c r="Q203" s="22"/>
      <c r="R203">
        <v>0</v>
      </c>
      <c r="S203" s="60"/>
      <c r="T203" s="4">
        <f t="shared" si="11"/>
        <v>0</v>
      </c>
      <c r="V203" s="39"/>
    </row>
    <row r="204" spans="1:22" ht="12.75">
      <c r="A204" s="3">
        <v>9130</v>
      </c>
      <c r="B204" s="3">
        <v>9130</v>
      </c>
      <c r="C204" t="s">
        <v>482</v>
      </c>
      <c r="D204" s="1">
        <v>0</v>
      </c>
      <c r="F204" s="18">
        <v>0</v>
      </c>
      <c r="H204" s="18">
        <f t="shared" si="8"/>
        <v>0</v>
      </c>
      <c r="J204" s="1">
        <v>0</v>
      </c>
      <c r="N204" s="1">
        <f t="shared" si="10"/>
        <v>0</v>
      </c>
      <c r="P204" s="4">
        <f t="shared" si="13"/>
        <v>0</v>
      </c>
      <c r="Q204" s="22"/>
      <c r="R204">
        <v>0</v>
      </c>
      <c r="S204" s="60"/>
      <c r="T204" s="4">
        <f t="shared" si="11"/>
        <v>0</v>
      </c>
      <c r="V204" s="39"/>
    </row>
    <row r="205" spans="1:22" ht="12.75">
      <c r="A205" s="3">
        <v>9135</v>
      </c>
      <c r="B205" s="3">
        <v>9135</v>
      </c>
      <c r="C205" t="s">
        <v>483</v>
      </c>
      <c r="D205" s="1">
        <v>0</v>
      </c>
      <c r="F205" s="18">
        <v>0</v>
      </c>
      <c r="H205" s="18">
        <f t="shared" si="8"/>
        <v>0</v>
      </c>
      <c r="J205" s="1">
        <v>0</v>
      </c>
      <c r="N205" s="1">
        <f t="shared" si="10"/>
        <v>0</v>
      </c>
      <c r="P205" s="4">
        <f t="shared" si="13"/>
        <v>0</v>
      </c>
      <c r="Q205" s="22"/>
      <c r="R205">
        <v>0</v>
      </c>
      <c r="S205" s="60"/>
      <c r="T205" s="4">
        <f t="shared" si="11"/>
        <v>0</v>
      </c>
      <c r="V205" s="39"/>
    </row>
    <row r="206" spans="1:22" ht="12.75">
      <c r="A206" s="3">
        <v>9140</v>
      </c>
      <c r="B206" s="3">
        <v>9140</v>
      </c>
      <c r="C206" t="s">
        <v>259</v>
      </c>
      <c r="D206" s="1">
        <v>0</v>
      </c>
      <c r="F206" s="18">
        <v>0</v>
      </c>
      <c r="H206" s="18">
        <f aca="true" t="shared" si="14" ref="H206:H212">F206-G206</f>
        <v>0</v>
      </c>
      <c r="J206" s="1">
        <v>0</v>
      </c>
      <c r="N206" s="1">
        <f aca="true" t="shared" si="15" ref="N206:N212">H206*J206</f>
        <v>0</v>
      </c>
      <c r="P206" s="4">
        <f t="shared" si="13"/>
        <v>0</v>
      </c>
      <c r="Q206" s="22"/>
      <c r="R206">
        <v>0</v>
      </c>
      <c r="S206" s="60"/>
      <c r="T206" s="4">
        <f t="shared" si="11"/>
        <v>0</v>
      </c>
      <c r="V206" s="39"/>
    </row>
    <row r="207" spans="1:22" ht="12.75">
      <c r="A207" s="3">
        <v>9145</v>
      </c>
      <c r="B207" s="3">
        <v>9145</v>
      </c>
      <c r="C207" t="s">
        <v>260</v>
      </c>
      <c r="D207" s="1">
        <v>0</v>
      </c>
      <c r="F207" s="18">
        <v>0</v>
      </c>
      <c r="H207" s="18">
        <f t="shared" si="14"/>
        <v>0</v>
      </c>
      <c r="J207" s="1">
        <v>0</v>
      </c>
      <c r="N207" s="1">
        <f t="shared" si="15"/>
        <v>0</v>
      </c>
      <c r="P207" s="4">
        <f t="shared" si="13"/>
        <v>0</v>
      </c>
      <c r="Q207" s="22"/>
      <c r="R207">
        <v>0</v>
      </c>
      <c r="S207" s="60"/>
      <c r="T207" s="4">
        <f aca="true" t="shared" si="16" ref="T207:T212">R207*S207</f>
        <v>0</v>
      </c>
      <c r="V207" s="39"/>
    </row>
    <row r="208" spans="1:22" ht="12.75">
      <c r="A208" s="3">
        <v>9150</v>
      </c>
      <c r="B208" s="3">
        <v>9150</v>
      </c>
      <c r="C208" t="s">
        <v>261</v>
      </c>
      <c r="D208" s="1">
        <v>0</v>
      </c>
      <c r="F208" s="18">
        <v>0</v>
      </c>
      <c r="H208" s="18">
        <f t="shared" si="14"/>
        <v>0</v>
      </c>
      <c r="J208" s="1">
        <v>0</v>
      </c>
      <c r="N208" s="1">
        <f t="shared" si="15"/>
        <v>0</v>
      </c>
      <c r="P208" s="4">
        <f t="shared" si="13"/>
        <v>0</v>
      </c>
      <c r="Q208" s="22"/>
      <c r="R208">
        <v>0</v>
      </c>
      <c r="S208" s="60"/>
      <c r="T208" s="4">
        <f t="shared" si="16"/>
        <v>0</v>
      </c>
      <c r="V208" s="39"/>
    </row>
    <row r="209" spans="1:22" ht="12.75">
      <c r="A209" s="3">
        <v>9160</v>
      </c>
      <c r="B209" s="3">
        <v>9160</v>
      </c>
      <c r="C209" t="s">
        <v>262</v>
      </c>
      <c r="D209" s="1">
        <v>0</v>
      </c>
      <c r="F209" s="18">
        <v>0</v>
      </c>
      <c r="H209" s="18">
        <f t="shared" si="14"/>
        <v>0</v>
      </c>
      <c r="J209" s="1">
        <v>0</v>
      </c>
      <c r="N209" s="1">
        <f t="shared" si="15"/>
        <v>0</v>
      </c>
      <c r="P209" s="4">
        <f t="shared" si="13"/>
        <v>0</v>
      </c>
      <c r="Q209" s="22"/>
      <c r="R209">
        <v>0</v>
      </c>
      <c r="S209" s="60"/>
      <c r="T209" s="4">
        <f t="shared" si="16"/>
        <v>0</v>
      </c>
      <c r="V209" s="39"/>
    </row>
    <row r="210" spans="1:22" ht="12.75">
      <c r="A210" s="3">
        <v>9165</v>
      </c>
      <c r="B210" s="3">
        <v>9165</v>
      </c>
      <c r="C210" t="s">
        <v>484</v>
      </c>
      <c r="D210" s="1">
        <v>0</v>
      </c>
      <c r="F210" s="18">
        <v>0</v>
      </c>
      <c r="H210" s="18">
        <f t="shared" si="14"/>
        <v>0</v>
      </c>
      <c r="J210" s="1">
        <v>0</v>
      </c>
      <c r="N210" s="1">
        <f t="shared" si="15"/>
        <v>0</v>
      </c>
      <c r="P210" s="4">
        <f t="shared" si="13"/>
        <v>0</v>
      </c>
      <c r="Q210" s="22"/>
      <c r="R210">
        <v>0</v>
      </c>
      <c r="S210" s="60"/>
      <c r="T210" s="4">
        <f t="shared" si="16"/>
        <v>0</v>
      </c>
      <c r="V210" s="39"/>
    </row>
    <row r="211" spans="1:22" ht="12.75">
      <c r="A211" s="3">
        <v>9170</v>
      </c>
      <c r="B211" s="3">
        <v>9170</v>
      </c>
      <c r="C211" t="s">
        <v>537</v>
      </c>
      <c r="D211" s="1">
        <v>0</v>
      </c>
      <c r="F211" s="18">
        <v>0</v>
      </c>
      <c r="H211" s="18">
        <f t="shared" si="14"/>
        <v>0</v>
      </c>
      <c r="J211" s="1">
        <v>0</v>
      </c>
      <c r="N211" s="1">
        <f t="shared" si="15"/>
        <v>0</v>
      </c>
      <c r="P211" s="4">
        <f>N211+O211</f>
        <v>0</v>
      </c>
      <c r="Q211" s="22"/>
      <c r="R211">
        <v>0</v>
      </c>
      <c r="S211" s="60"/>
      <c r="T211" s="4">
        <f t="shared" si="16"/>
        <v>0</v>
      </c>
      <c r="V211" s="39"/>
    </row>
    <row r="212" spans="1:20" ht="12.75">
      <c r="A212" s="3">
        <v>9175</v>
      </c>
      <c r="B212" s="3">
        <v>9175</v>
      </c>
      <c r="C212" t="s">
        <v>538</v>
      </c>
      <c r="D212" s="1">
        <v>0</v>
      </c>
      <c r="F212" s="18">
        <v>0</v>
      </c>
      <c r="H212" s="18">
        <f t="shared" si="14"/>
        <v>0</v>
      </c>
      <c r="J212" s="1">
        <v>0</v>
      </c>
      <c r="N212" s="1">
        <f t="shared" si="15"/>
        <v>0</v>
      </c>
      <c r="P212" s="4">
        <f>N212+O212</f>
        <v>0</v>
      </c>
      <c r="Q212" s="22"/>
      <c r="R212">
        <v>0</v>
      </c>
      <c r="S212" s="60"/>
      <c r="T212" s="4">
        <f t="shared" si="16"/>
        <v>0</v>
      </c>
    </row>
    <row r="213" ht="12.75">
      <c r="V213" s="1"/>
    </row>
    <row r="214" spans="3:20" ht="12.75">
      <c r="C214" t="s">
        <v>289</v>
      </c>
      <c r="D214" s="18">
        <f aca="true" t="shared" si="17" ref="D214:I214">SUM(D4:D213)</f>
        <v>869396.0000000003</v>
      </c>
      <c r="E214" s="1">
        <f t="shared" si="17"/>
        <v>0</v>
      </c>
      <c r="F214" s="18">
        <f t="shared" si="17"/>
        <v>99812.90000000002</v>
      </c>
      <c r="G214" s="18">
        <f t="shared" si="17"/>
        <v>8855</v>
      </c>
      <c r="H214" s="18">
        <f t="shared" si="17"/>
        <v>90957.90000000002</v>
      </c>
      <c r="I214" s="1">
        <f t="shared" si="17"/>
        <v>0</v>
      </c>
      <c r="K214" s="1">
        <f>SUM(K4:K213)</f>
        <v>0</v>
      </c>
      <c r="M214" s="1"/>
      <c r="N214" s="1">
        <f>SUM(N4:N213)</f>
        <v>846367525.7630004</v>
      </c>
      <c r="O214" s="1">
        <f>SUM(O4:O213)</f>
        <v>62145492.63</v>
      </c>
      <c r="P214" s="1">
        <f>SUM(P4:P213)</f>
        <v>908513018.3930004</v>
      </c>
      <c r="Q214" s="1">
        <f>SUM(Q4:Q213)</f>
        <v>0</v>
      </c>
      <c r="R214" s="18">
        <f>SUM(R4:R182)</f>
        <v>14679.5</v>
      </c>
      <c r="T214" s="1">
        <f>SUM(T4:T182)</f>
        <v>122348810.04460987</v>
      </c>
    </row>
    <row r="215" ht="12.75">
      <c r="J215" s="1" t="s">
        <v>290</v>
      </c>
    </row>
    <row r="217" ht="12.75">
      <c r="N217" s="39"/>
    </row>
    <row r="219" ht="12.75">
      <c r="R219" t="s">
        <v>290</v>
      </c>
    </row>
  </sheetData>
  <sheetProtection/>
  <printOptions/>
  <pageMargins left="1" right="1" top="1" bottom="1" header="0.5" footer="0.5"/>
  <pageSetup horizontalDpi="600" verticalDpi="600" orientation="landscape" paperSize="5" scale="75" r:id="rId1"/>
  <headerFooter alignWithMargins="0">
    <oddHeader>&amp;CFY 2018-19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6" max="6" width="9.140625" style="53" customWidth="1"/>
  </cols>
  <sheetData>
    <row r="1" spans="1:6" ht="12.75">
      <c r="A1" s="16" t="s">
        <v>0</v>
      </c>
      <c r="B1" s="16" t="s">
        <v>1</v>
      </c>
      <c r="C1" s="16" t="s">
        <v>2</v>
      </c>
      <c r="D1" s="24" t="s">
        <v>285</v>
      </c>
      <c r="E1" s="9"/>
      <c r="F1" s="54"/>
    </row>
    <row r="2" spans="1:6" ht="12.75">
      <c r="A2" s="16"/>
      <c r="B2" s="16"/>
      <c r="C2" s="16"/>
      <c r="D2" s="2" t="s">
        <v>286</v>
      </c>
      <c r="E2" s="9"/>
      <c r="F2" s="54"/>
    </row>
    <row r="3" spans="1:6" ht="12.75">
      <c r="A3" s="16"/>
      <c r="B3" s="16"/>
      <c r="C3" s="16"/>
      <c r="D3" s="2" t="s">
        <v>300</v>
      </c>
      <c r="E3" s="9"/>
      <c r="F3" s="54"/>
    </row>
    <row r="4" spans="1:6" ht="12.75">
      <c r="A4" s="16"/>
      <c r="B4" s="16"/>
      <c r="C4" s="16"/>
      <c r="D4" s="2" t="s">
        <v>287</v>
      </c>
      <c r="E4" s="9"/>
      <c r="F4" s="54"/>
    </row>
    <row r="5" spans="3:6" ht="12.75">
      <c r="C5" s="9"/>
      <c r="D5" s="9"/>
      <c r="E5" s="9"/>
      <c r="F5" s="54"/>
    </row>
    <row r="6" spans="1:6" ht="12.75">
      <c r="A6" s="3" t="s">
        <v>5</v>
      </c>
      <c r="B6" t="s">
        <v>6</v>
      </c>
      <c r="C6" t="s">
        <v>309</v>
      </c>
      <c r="D6" s="25">
        <v>0</v>
      </c>
      <c r="E6" s="55"/>
      <c r="F6" s="54"/>
    </row>
    <row r="7" spans="1:6" ht="12.75">
      <c r="A7" s="3" t="s">
        <v>7</v>
      </c>
      <c r="B7" t="s">
        <v>6</v>
      </c>
      <c r="C7" t="s">
        <v>310</v>
      </c>
      <c r="D7" s="25">
        <v>4</v>
      </c>
      <c r="E7" s="55"/>
      <c r="F7" s="54"/>
    </row>
    <row r="8" spans="1:6" ht="12.75">
      <c r="A8" s="3" t="s">
        <v>8</v>
      </c>
      <c r="B8" t="s">
        <v>6</v>
      </c>
      <c r="C8" t="s">
        <v>311</v>
      </c>
      <c r="D8" s="25">
        <v>0</v>
      </c>
      <c r="E8" s="55"/>
      <c r="F8" s="54"/>
    </row>
    <row r="9" spans="1:6" ht="12.75">
      <c r="A9" s="3" t="s">
        <v>9</v>
      </c>
      <c r="B9" t="s">
        <v>6</v>
      </c>
      <c r="C9" t="s">
        <v>312</v>
      </c>
      <c r="D9" s="25">
        <v>5</v>
      </c>
      <c r="E9" s="55"/>
      <c r="F9" s="54"/>
    </row>
    <row r="10" spans="1:6" ht="12.75">
      <c r="A10" s="3" t="s">
        <v>10</v>
      </c>
      <c r="B10" t="s">
        <v>6</v>
      </c>
      <c r="C10" t="s">
        <v>313</v>
      </c>
      <c r="D10" s="25">
        <v>0</v>
      </c>
      <c r="E10" s="55"/>
      <c r="F10" s="54"/>
    </row>
    <row r="11" spans="1:6" ht="12.75">
      <c r="A11" s="3" t="s">
        <v>11</v>
      </c>
      <c r="B11" t="s">
        <v>6</v>
      </c>
      <c r="C11" t="s">
        <v>314</v>
      </c>
      <c r="D11" s="25">
        <v>0</v>
      </c>
      <c r="E11" s="55"/>
      <c r="F11" s="54"/>
    </row>
    <row r="12" spans="1:6" ht="12.75">
      <c r="A12" s="3" t="s">
        <v>12</v>
      </c>
      <c r="B12" t="s">
        <v>6</v>
      </c>
      <c r="C12" t="s">
        <v>315</v>
      </c>
      <c r="D12" s="25">
        <v>0</v>
      </c>
      <c r="E12" s="55"/>
      <c r="F12" s="54"/>
    </row>
    <row r="13" spans="1:6" ht="12.75">
      <c r="A13" s="3" t="s">
        <v>13</v>
      </c>
      <c r="B13" t="s">
        <v>14</v>
      </c>
      <c r="C13" t="s">
        <v>316</v>
      </c>
      <c r="D13" s="25">
        <v>0</v>
      </c>
      <c r="E13" s="55"/>
      <c r="F13" s="54"/>
    </row>
    <row r="14" spans="1:6" ht="12.75">
      <c r="A14" s="3" t="s">
        <v>15</v>
      </c>
      <c r="B14" t="s">
        <v>14</v>
      </c>
      <c r="C14" t="s">
        <v>317</v>
      </c>
      <c r="D14" s="25">
        <v>0</v>
      </c>
      <c r="E14" s="55"/>
      <c r="F14" s="54"/>
    </row>
    <row r="15" spans="1:6" ht="12.75">
      <c r="A15" s="3" t="s">
        <v>16</v>
      </c>
      <c r="B15" t="s">
        <v>17</v>
      </c>
      <c r="C15" t="s">
        <v>318</v>
      </c>
      <c r="D15" s="25">
        <v>0</v>
      </c>
      <c r="E15" s="55"/>
      <c r="F15" s="54"/>
    </row>
    <row r="16" spans="1:6" ht="12.75">
      <c r="A16" s="3" t="s">
        <v>18</v>
      </c>
      <c r="B16" t="s">
        <v>17</v>
      </c>
      <c r="C16" t="s">
        <v>319</v>
      </c>
      <c r="D16" s="25">
        <v>0</v>
      </c>
      <c r="E16" s="55"/>
      <c r="F16" s="54"/>
    </row>
    <row r="17" spans="1:6" ht="12.75">
      <c r="A17" s="3" t="s">
        <v>19</v>
      </c>
      <c r="B17" t="s">
        <v>17</v>
      </c>
      <c r="C17" t="s">
        <v>320</v>
      </c>
      <c r="D17" s="25">
        <v>2</v>
      </c>
      <c r="E17" s="55"/>
      <c r="F17" s="54"/>
    </row>
    <row r="18" spans="1:6" ht="12.75">
      <c r="A18" s="3" t="s">
        <v>20</v>
      </c>
      <c r="B18" t="s">
        <v>17</v>
      </c>
      <c r="C18" t="s">
        <v>321</v>
      </c>
      <c r="D18" s="25">
        <v>2</v>
      </c>
      <c r="E18" s="55"/>
      <c r="F18" s="54"/>
    </row>
    <row r="19" spans="1:6" ht="12.75">
      <c r="A19" s="3" t="s">
        <v>21</v>
      </c>
      <c r="B19" t="s">
        <v>17</v>
      </c>
      <c r="C19" t="s">
        <v>322</v>
      </c>
      <c r="D19" s="25">
        <v>0</v>
      </c>
      <c r="E19" s="55"/>
      <c r="F19" s="54"/>
    </row>
    <row r="20" spans="1:6" ht="12.75">
      <c r="A20" s="3" t="s">
        <v>22</v>
      </c>
      <c r="B20" t="s">
        <v>17</v>
      </c>
      <c r="C20" t="s">
        <v>323</v>
      </c>
      <c r="D20" s="25">
        <v>9</v>
      </c>
      <c r="E20" s="55"/>
      <c r="F20" s="54"/>
    </row>
    <row r="21" spans="1:6" ht="12.75">
      <c r="A21" s="3" t="s">
        <v>23</v>
      </c>
      <c r="B21" t="s">
        <v>17</v>
      </c>
      <c r="C21" t="s">
        <v>324</v>
      </c>
      <c r="D21" s="25">
        <v>9</v>
      </c>
      <c r="E21" s="55"/>
      <c r="F21" s="54"/>
    </row>
    <row r="22" spans="1:6" ht="12.75">
      <c r="A22" s="3" t="s">
        <v>24</v>
      </c>
      <c r="B22" t="s">
        <v>25</v>
      </c>
      <c r="C22" t="s">
        <v>325</v>
      </c>
      <c r="D22" s="25">
        <v>1</v>
      </c>
      <c r="E22" s="55"/>
      <c r="F22" s="54"/>
    </row>
    <row r="23" spans="1:6" ht="12.75">
      <c r="A23" s="3" t="s">
        <v>26</v>
      </c>
      <c r="B23" t="s">
        <v>27</v>
      </c>
      <c r="C23" t="s">
        <v>326</v>
      </c>
      <c r="D23" s="25">
        <v>0</v>
      </c>
      <c r="E23" s="55"/>
      <c r="F23" s="54"/>
    </row>
    <row r="24" spans="1:6" ht="12.75">
      <c r="A24" s="3" t="s">
        <v>28</v>
      </c>
      <c r="B24" t="s">
        <v>27</v>
      </c>
      <c r="C24" t="s">
        <v>327</v>
      </c>
      <c r="D24" s="25">
        <v>0</v>
      </c>
      <c r="E24" s="55"/>
      <c r="F24" s="54"/>
    </row>
    <row r="25" spans="1:6" ht="12.75">
      <c r="A25" s="3" t="s">
        <v>29</v>
      </c>
      <c r="B25" t="s">
        <v>27</v>
      </c>
      <c r="C25" t="s">
        <v>328</v>
      </c>
      <c r="D25" s="25">
        <v>0</v>
      </c>
      <c r="E25" s="55"/>
      <c r="F25" s="54"/>
    </row>
    <row r="26" spans="1:6" ht="12.75">
      <c r="A26" s="3" t="s">
        <v>30</v>
      </c>
      <c r="B26" t="s">
        <v>27</v>
      </c>
      <c r="C26" t="s">
        <v>329</v>
      </c>
      <c r="D26" s="25">
        <v>0</v>
      </c>
      <c r="E26" s="55"/>
      <c r="F26" s="54"/>
    </row>
    <row r="27" spans="1:6" ht="12.75">
      <c r="A27" s="3" t="s">
        <v>31</v>
      </c>
      <c r="B27" t="s">
        <v>27</v>
      </c>
      <c r="C27" t="s">
        <v>330</v>
      </c>
      <c r="D27" s="25">
        <v>0</v>
      </c>
      <c r="E27" s="55"/>
      <c r="F27" s="54"/>
    </row>
    <row r="28" spans="1:6" ht="12.75">
      <c r="A28" s="3" t="s">
        <v>32</v>
      </c>
      <c r="B28" t="s">
        <v>33</v>
      </c>
      <c r="C28" t="s">
        <v>331</v>
      </c>
      <c r="D28" s="25">
        <v>0</v>
      </c>
      <c r="E28" s="55"/>
      <c r="F28" s="54"/>
    </row>
    <row r="29" spans="1:6" ht="12.75">
      <c r="A29" s="3" t="s">
        <v>35</v>
      </c>
      <c r="B29" t="s">
        <v>33</v>
      </c>
      <c r="C29" t="s">
        <v>332</v>
      </c>
      <c r="D29" s="25">
        <v>0</v>
      </c>
      <c r="E29" s="55"/>
      <c r="F29" s="54"/>
    </row>
    <row r="30" spans="1:6" ht="12.75">
      <c r="A30" s="3" t="s">
        <v>36</v>
      </c>
      <c r="B30" t="s">
        <v>37</v>
      </c>
      <c r="C30" t="s">
        <v>333</v>
      </c>
      <c r="D30" s="25">
        <v>6</v>
      </c>
      <c r="E30" s="55"/>
      <c r="F30" s="54"/>
    </row>
    <row r="31" spans="1:6" ht="12.75">
      <c r="A31" s="3" t="s">
        <v>38</v>
      </c>
      <c r="B31" t="s">
        <v>37</v>
      </c>
      <c r="C31" t="s">
        <v>334</v>
      </c>
      <c r="D31" s="25">
        <v>5</v>
      </c>
      <c r="E31" s="55"/>
      <c r="F31" s="54"/>
    </row>
    <row r="32" spans="1:6" ht="12.75">
      <c r="A32" s="3" t="s">
        <v>39</v>
      </c>
      <c r="B32" t="s">
        <v>40</v>
      </c>
      <c r="C32" t="s">
        <v>335</v>
      </c>
      <c r="D32" s="25">
        <v>0</v>
      </c>
      <c r="E32" s="55"/>
      <c r="F32" s="54"/>
    </row>
    <row r="33" spans="1:6" ht="12.75">
      <c r="A33" s="3" t="s">
        <v>41</v>
      </c>
      <c r="B33" t="s">
        <v>40</v>
      </c>
      <c r="C33" t="s">
        <v>336</v>
      </c>
      <c r="D33" s="25">
        <v>0</v>
      </c>
      <c r="E33" s="55"/>
      <c r="F33" s="54"/>
    </row>
    <row r="34" spans="1:6" ht="12.75">
      <c r="A34" s="3" t="s">
        <v>42</v>
      </c>
      <c r="B34" t="s">
        <v>43</v>
      </c>
      <c r="C34" t="s">
        <v>337</v>
      </c>
      <c r="D34" s="25">
        <v>0</v>
      </c>
      <c r="E34" s="55"/>
      <c r="F34" s="54"/>
    </row>
    <row r="35" spans="1:6" ht="12.75">
      <c r="A35" s="3" t="s">
        <v>45</v>
      </c>
      <c r="B35" t="s">
        <v>43</v>
      </c>
      <c r="C35" t="s">
        <v>338</v>
      </c>
      <c r="D35" s="25">
        <v>0</v>
      </c>
      <c r="E35" s="55"/>
      <c r="F35" s="54"/>
    </row>
    <row r="36" spans="1:6" ht="12.75">
      <c r="A36" s="3" t="s">
        <v>46</v>
      </c>
      <c r="B36" t="s">
        <v>47</v>
      </c>
      <c r="C36" t="s">
        <v>339</v>
      </c>
      <c r="D36" s="25">
        <v>1</v>
      </c>
      <c r="E36" s="55"/>
      <c r="F36" s="54"/>
    </row>
    <row r="37" spans="1:6" ht="12.75">
      <c r="A37" s="3" t="s">
        <v>48</v>
      </c>
      <c r="B37" t="s">
        <v>49</v>
      </c>
      <c r="C37" t="s">
        <v>340</v>
      </c>
      <c r="D37" s="25">
        <v>0</v>
      </c>
      <c r="E37" s="55"/>
      <c r="F37" s="54"/>
    </row>
    <row r="38" spans="1:6" ht="12.75">
      <c r="A38" s="3" t="s">
        <v>50</v>
      </c>
      <c r="B38" t="s">
        <v>49</v>
      </c>
      <c r="C38" t="s">
        <v>341</v>
      </c>
      <c r="D38" s="25">
        <v>0</v>
      </c>
      <c r="E38" s="55"/>
      <c r="F38" s="54"/>
    </row>
    <row r="39" spans="1:6" ht="12.75">
      <c r="A39" s="3" t="s">
        <v>51</v>
      </c>
      <c r="B39" t="s">
        <v>49</v>
      </c>
      <c r="C39" t="s">
        <v>342</v>
      </c>
      <c r="D39" s="25">
        <v>0</v>
      </c>
      <c r="E39" s="55"/>
      <c r="F39" s="54"/>
    </row>
    <row r="40" spans="1:6" ht="12.75">
      <c r="A40" s="3" t="s">
        <v>52</v>
      </c>
      <c r="B40" t="s">
        <v>53</v>
      </c>
      <c r="C40" t="s">
        <v>343</v>
      </c>
      <c r="D40" s="25">
        <v>0</v>
      </c>
      <c r="E40" s="55"/>
      <c r="F40" s="54"/>
    </row>
    <row r="41" spans="1:6" ht="12.75">
      <c r="A41" s="3" t="s">
        <v>54</v>
      </c>
      <c r="B41" t="s">
        <v>53</v>
      </c>
      <c r="C41" t="s">
        <v>344</v>
      </c>
      <c r="D41" s="25">
        <v>0</v>
      </c>
      <c r="E41" s="55"/>
      <c r="F41" s="54"/>
    </row>
    <row r="42" spans="1:6" ht="12.75">
      <c r="A42" s="3" t="s">
        <v>55</v>
      </c>
      <c r="B42" t="s">
        <v>56</v>
      </c>
      <c r="C42" t="s">
        <v>345</v>
      </c>
      <c r="D42" s="25">
        <v>0</v>
      </c>
      <c r="E42" s="55"/>
      <c r="F42" s="54"/>
    </row>
    <row r="43" spans="1:6" ht="12.75">
      <c r="A43" s="3" t="s">
        <v>57</v>
      </c>
      <c r="B43" t="s">
        <v>58</v>
      </c>
      <c r="C43" t="s">
        <v>346</v>
      </c>
      <c r="D43" s="25">
        <v>0</v>
      </c>
      <c r="E43" s="55"/>
      <c r="F43" s="54"/>
    </row>
    <row r="44" spans="1:6" ht="12.75">
      <c r="A44" s="3" t="s">
        <v>59</v>
      </c>
      <c r="B44" t="s">
        <v>60</v>
      </c>
      <c r="C44" t="s">
        <v>347</v>
      </c>
      <c r="D44" s="25">
        <v>1</v>
      </c>
      <c r="E44" s="55"/>
      <c r="F44" s="54"/>
    </row>
    <row r="45" spans="1:6" ht="12.75">
      <c r="A45" s="3" t="s">
        <v>61</v>
      </c>
      <c r="B45" t="s">
        <v>62</v>
      </c>
      <c r="C45" t="s">
        <v>348</v>
      </c>
      <c r="D45" s="25">
        <v>62</v>
      </c>
      <c r="E45" s="55"/>
      <c r="F45" s="54"/>
    </row>
    <row r="46" spans="1:6" ht="12.75">
      <c r="A46" s="3" t="s">
        <v>63</v>
      </c>
      <c r="B46" t="s">
        <v>64</v>
      </c>
      <c r="C46" t="s">
        <v>349</v>
      </c>
      <c r="D46" s="25">
        <v>0</v>
      </c>
      <c r="E46" s="55"/>
      <c r="F46" s="54"/>
    </row>
    <row r="47" spans="1:6" ht="12.75">
      <c r="A47" s="3" t="s">
        <v>65</v>
      </c>
      <c r="B47" t="s">
        <v>66</v>
      </c>
      <c r="C47" t="s">
        <v>350</v>
      </c>
      <c r="D47" s="25">
        <v>20</v>
      </c>
      <c r="E47" s="55"/>
      <c r="F47" s="54"/>
    </row>
    <row r="48" spans="1:6" ht="12.75">
      <c r="A48" s="3" t="s">
        <v>67</v>
      </c>
      <c r="B48" t="s">
        <v>68</v>
      </c>
      <c r="C48" t="s">
        <v>351</v>
      </c>
      <c r="D48" s="25">
        <v>1</v>
      </c>
      <c r="E48" s="55"/>
      <c r="F48" s="54"/>
    </row>
    <row r="49" spans="1:6" ht="12.75">
      <c r="A49" s="3" t="s">
        <v>69</v>
      </c>
      <c r="B49" t="s">
        <v>70</v>
      </c>
      <c r="C49" t="s">
        <v>352</v>
      </c>
      <c r="D49" s="25">
        <v>1</v>
      </c>
      <c r="E49" s="55"/>
      <c r="F49" s="54"/>
    </row>
    <row r="50" spans="1:6" ht="12.75">
      <c r="A50" s="3" t="s">
        <v>71</v>
      </c>
      <c r="B50" t="s">
        <v>70</v>
      </c>
      <c r="C50" t="s">
        <v>353</v>
      </c>
      <c r="D50" s="25">
        <v>0</v>
      </c>
      <c r="E50" s="55"/>
      <c r="F50" s="54"/>
    </row>
    <row r="51" spans="1:6" ht="12.75">
      <c r="A51" s="3" t="s">
        <v>73</v>
      </c>
      <c r="B51" t="s">
        <v>70</v>
      </c>
      <c r="C51" t="s">
        <v>354</v>
      </c>
      <c r="D51" s="25">
        <v>0</v>
      </c>
      <c r="E51" s="55"/>
      <c r="F51" s="54"/>
    </row>
    <row r="52" spans="1:6" ht="12.75">
      <c r="A52" s="3" t="s">
        <v>74</v>
      </c>
      <c r="B52" t="s">
        <v>70</v>
      </c>
      <c r="C52" t="s">
        <v>355</v>
      </c>
      <c r="D52" s="25">
        <v>0</v>
      </c>
      <c r="E52" s="55"/>
      <c r="F52" s="54"/>
    </row>
    <row r="53" spans="1:6" ht="12.75">
      <c r="A53" s="3" t="s">
        <v>75</v>
      </c>
      <c r="B53" t="s">
        <v>70</v>
      </c>
      <c r="C53" t="s">
        <v>356</v>
      </c>
      <c r="D53" s="25">
        <v>0</v>
      </c>
      <c r="E53" s="55"/>
      <c r="F53" s="54"/>
    </row>
    <row r="54" spans="1:6" ht="12.75">
      <c r="A54" s="3" t="s">
        <v>76</v>
      </c>
      <c r="B54" t="s">
        <v>77</v>
      </c>
      <c r="C54" t="s">
        <v>357</v>
      </c>
      <c r="D54" s="25">
        <v>0</v>
      </c>
      <c r="E54" s="55"/>
      <c r="F54" s="54"/>
    </row>
    <row r="55" spans="1:6" ht="12.75">
      <c r="A55" s="3" t="s">
        <v>78</v>
      </c>
      <c r="B55" t="s">
        <v>77</v>
      </c>
      <c r="C55" t="s">
        <v>358</v>
      </c>
      <c r="D55" s="25">
        <v>5</v>
      </c>
      <c r="E55" s="55"/>
      <c r="F55" s="54"/>
    </row>
    <row r="56" spans="1:6" ht="12.75">
      <c r="A56" s="3" t="s">
        <v>79</v>
      </c>
      <c r="B56" t="s">
        <v>77</v>
      </c>
      <c r="C56" t="s">
        <v>359</v>
      </c>
      <c r="D56" s="25">
        <v>1</v>
      </c>
      <c r="E56" s="55"/>
      <c r="F56" s="54"/>
    </row>
    <row r="57" spans="1:6" ht="12.75">
      <c r="A57" s="3" t="s">
        <v>80</v>
      </c>
      <c r="B57" t="s">
        <v>77</v>
      </c>
      <c r="C57" t="s">
        <v>360</v>
      </c>
      <c r="D57" s="25">
        <v>0</v>
      </c>
      <c r="E57" s="55"/>
      <c r="F57" s="54"/>
    </row>
    <row r="58" spans="1:6" ht="12.75">
      <c r="A58" s="3" t="s">
        <v>81</v>
      </c>
      <c r="B58" t="s">
        <v>77</v>
      </c>
      <c r="C58" t="s">
        <v>361</v>
      </c>
      <c r="D58" s="25">
        <v>6</v>
      </c>
      <c r="E58" s="55"/>
      <c r="F58" s="54"/>
    </row>
    <row r="59" spans="1:6" ht="12.75">
      <c r="A59" s="3" t="s">
        <v>82</v>
      </c>
      <c r="B59" t="s">
        <v>77</v>
      </c>
      <c r="C59" t="s">
        <v>362</v>
      </c>
      <c r="D59" s="25">
        <v>3</v>
      </c>
      <c r="E59" s="55"/>
      <c r="F59" s="54"/>
    </row>
    <row r="60" spans="1:6" ht="12.75">
      <c r="A60" s="3" t="s">
        <v>83</v>
      </c>
      <c r="B60" t="s">
        <v>77</v>
      </c>
      <c r="C60" t="s">
        <v>363</v>
      </c>
      <c r="D60" s="25">
        <v>0</v>
      </c>
      <c r="E60" s="55"/>
      <c r="F60" s="54"/>
    </row>
    <row r="61" spans="1:6" ht="12.75">
      <c r="A61" s="3" t="s">
        <v>84</v>
      </c>
      <c r="B61" t="s">
        <v>77</v>
      </c>
      <c r="C61" t="s">
        <v>364</v>
      </c>
      <c r="D61" s="25">
        <v>5</v>
      </c>
      <c r="E61" s="55"/>
      <c r="F61" s="54"/>
    </row>
    <row r="62" spans="1:6" ht="12.75">
      <c r="A62" s="3" t="s">
        <v>85</v>
      </c>
      <c r="B62" t="s">
        <v>77</v>
      </c>
      <c r="C62" t="s">
        <v>365</v>
      </c>
      <c r="D62" s="25">
        <v>0</v>
      </c>
      <c r="E62" s="55"/>
      <c r="F62" s="54"/>
    </row>
    <row r="63" spans="1:6" ht="12.75">
      <c r="A63" s="3" t="s">
        <v>86</v>
      </c>
      <c r="B63" t="s">
        <v>77</v>
      </c>
      <c r="C63" t="s">
        <v>366</v>
      </c>
      <c r="D63" s="25">
        <v>0</v>
      </c>
      <c r="E63" s="55"/>
      <c r="F63" s="54"/>
    </row>
    <row r="64" spans="1:6" ht="12.75">
      <c r="A64" s="3" t="s">
        <v>87</v>
      </c>
      <c r="B64" t="s">
        <v>77</v>
      </c>
      <c r="C64" t="s">
        <v>367</v>
      </c>
      <c r="D64" s="25">
        <v>0</v>
      </c>
      <c r="E64" s="55"/>
      <c r="F64" s="54"/>
    </row>
    <row r="65" spans="1:6" ht="12.75">
      <c r="A65" s="3" t="s">
        <v>88</v>
      </c>
      <c r="B65" t="s">
        <v>77</v>
      </c>
      <c r="C65" t="s">
        <v>368</v>
      </c>
      <c r="D65" s="25">
        <v>1</v>
      </c>
      <c r="E65" s="55"/>
      <c r="F65" s="54"/>
    </row>
    <row r="66" spans="1:6" ht="12.75">
      <c r="A66" s="3" t="s">
        <v>89</v>
      </c>
      <c r="B66" t="s">
        <v>77</v>
      </c>
      <c r="C66" t="s">
        <v>369</v>
      </c>
      <c r="D66" s="25">
        <v>7</v>
      </c>
      <c r="E66" s="55"/>
      <c r="F66" s="54"/>
    </row>
    <row r="67" spans="1:6" ht="12.75">
      <c r="A67" s="3" t="s">
        <v>90</v>
      </c>
      <c r="B67" t="s">
        <v>77</v>
      </c>
      <c r="C67" t="s">
        <v>370</v>
      </c>
      <c r="D67" s="25">
        <v>0</v>
      </c>
      <c r="E67" s="55"/>
      <c r="F67" s="54"/>
    </row>
    <row r="68" spans="1:6" ht="12.75">
      <c r="A68" s="3" t="s">
        <v>91</v>
      </c>
      <c r="B68" t="s">
        <v>77</v>
      </c>
      <c r="C68" t="s">
        <v>371</v>
      </c>
      <c r="D68" s="25">
        <v>0</v>
      </c>
      <c r="E68" s="55"/>
      <c r="F68" s="54"/>
    </row>
    <row r="69" spans="1:6" ht="12.75">
      <c r="A69" s="3" t="s">
        <v>92</v>
      </c>
      <c r="B69" t="s">
        <v>93</v>
      </c>
      <c r="C69" t="s">
        <v>372</v>
      </c>
      <c r="D69" s="25">
        <v>1</v>
      </c>
      <c r="E69" s="55"/>
      <c r="F69" s="54"/>
    </row>
    <row r="70" spans="1:6" ht="12.75">
      <c r="A70" s="3" t="s">
        <v>94</v>
      </c>
      <c r="B70" t="s">
        <v>93</v>
      </c>
      <c r="C70" t="s">
        <v>373</v>
      </c>
      <c r="D70" s="25">
        <v>0</v>
      </c>
      <c r="E70" s="55"/>
      <c r="F70" s="54"/>
    </row>
    <row r="71" spans="1:6" ht="12.75">
      <c r="A71" s="3" t="s">
        <v>95</v>
      </c>
      <c r="B71" t="s">
        <v>93</v>
      </c>
      <c r="C71" t="s">
        <v>374</v>
      </c>
      <c r="D71" s="25">
        <v>0</v>
      </c>
      <c r="E71" s="55"/>
      <c r="F71" s="54"/>
    </row>
    <row r="72" spans="1:6" ht="12.75">
      <c r="A72" s="3" t="s">
        <v>96</v>
      </c>
      <c r="B72" t="s">
        <v>97</v>
      </c>
      <c r="C72" t="s">
        <v>375</v>
      </c>
      <c r="D72" s="25">
        <v>1</v>
      </c>
      <c r="E72" s="55"/>
      <c r="F72" s="54"/>
    </row>
    <row r="73" spans="1:6" ht="12.75">
      <c r="A73" s="3" t="s">
        <v>98</v>
      </c>
      <c r="B73" t="s">
        <v>97</v>
      </c>
      <c r="C73" t="s">
        <v>376</v>
      </c>
      <c r="D73" s="25">
        <v>0</v>
      </c>
      <c r="E73" s="55"/>
      <c r="F73" s="54"/>
    </row>
    <row r="74" spans="1:6" ht="12.75">
      <c r="A74" s="3" t="s">
        <v>99</v>
      </c>
      <c r="B74" t="s">
        <v>97</v>
      </c>
      <c r="C74" t="s">
        <v>377</v>
      </c>
      <c r="D74" s="25">
        <v>0</v>
      </c>
      <c r="E74" s="55"/>
      <c r="F74" s="54"/>
    </row>
    <row r="75" spans="1:6" ht="12.75">
      <c r="A75" s="3" t="s">
        <v>100</v>
      </c>
      <c r="B75" t="s">
        <v>101</v>
      </c>
      <c r="C75" t="s">
        <v>378</v>
      </c>
      <c r="D75" s="25">
        <v>0</v>
      </c>
      <c r="E75" s="55"/>
      <c r="F75" s="54"/>
    </row>
    <row r="76" spans="1:6" ht="12.75">
      <c r="A76" s="3" t="s">
        <v>102</v>
      </c>
      <c r="B76" t="s">
        <v>103</v>
      </c>
      <c r="C76" t="s">
        <v>379</v>
      </c>
      <c r="D76" s="25">
        <v>0</v>
      </c>
      <c r="E76" s="55"/>
      <c r="F76" s="54"/>
    </row>
    <row r="77" spans="1:6" ht="12.75">
      <c r="A77" s="3" t="s">
        <v>104</v>
      </c>
      <c r="B77" t="s">
        <v>103</v>
      </c>
      <c r="C77" t="s">
        <v>380</v>
      </c>
      <c r="D77" s="25">
        <v>0</v>
      </c>
      <c r="E77" s="55"/>
      <c r="F77" s="54"/>
    </row>
    <row r="78" spans="1:6" ht="12.75">
      <c r="A78" s="3" t="s">
        <v>105</v>
      </c>
      <c r="B78" t="s">
        <v>106</v>
      </c>
      <c r="C78" t="s">
        <v>381</v>
      </c>
      <c r="D78" s="25">
        <v>1</v>
      </c>
      <c r="E78" s="55"/>
      <c r="F78" s="54"/>
    </row>
    <row r="79" spans="1:6" ht="12.75">
      <c r="A79" s="3" t="s">
        <v>107</v>
      </c>
      <c r="B79" t="s">
        <v>108</v>
      </c>
      <c r="C79" t="s">
        <v>382</v>
      </c>
      <c r="D79" s="25">
        <v>0</v>
      </c>
      <c r="E79" s="55"/>
      <c r="F79" s="54"/>
    </row>
    <row r="80" spans="1:6" ht="12.75">
      <c r="A80" s="3" t="s">
        <v>109</v>
      </c>
      <c r="B80" t="s">
        <v>110</v>
      </c>
      <c r="C80" t="s">
        <v>383</v>
      </c>
      <c r="D80" s="25">
        <v>0</v>
      </c>
      <c r="E80" s="55"/>
      <c r="F80" s="54"/>
    </row>
    <row r="81" spans="1:6" ht="12.75">
      <c r="A81" s="3" t="s">
        <v>111</v>
      </c>
      <c r="B81" t="s">
        <v>110</v>
      </c>
      <c r="C81" t="s">
        <v>384</v>
      </c>
      <c r="D81" s="25">
        <v>0</v>
      </c>
      <c r="E81" s="55"/>
      <c r="F81" s="54"/>
    </row>
    <row r="82" spans="1:6" ht="12.75">
      <c r="A82" s="3" t="s">
        <v>112</v>
      </c>
      <c r="B82" t="s">
        <v>113</v>
      </c>
      <c r="C82" t="s">
        <v>385</v>
      </c>
      <c r="D82" s="25">
        <v>0</v>
      </c>
      <c r="E82" s="55"/>
      <c r="F82" s="54"/>
    </row>
    <row r="83" spans="1:6" ht="12.75">
      <c r="A83" s="3" t="s">
        <v>114</v>
      </c>
      <c r="B83" t="s">
        <v>115</v>
      </c>
      <c r="C83" t="s">
        <v>386</v>
      </c>
      <c r="D83" s="25">
        <v>19</v>
      </c>
      <c r="E83" s="55"/>
      <c r="F83" s="54"/>
    </row>
    <row r="84" spans="1:6" ht="12.75">
      <c r="A84" s="3" t="s">
        <v>116</v>
      </c>
      <c r="B84" t="s">
        <v>72</v>
      </c>
      <c r="C84" t="s">
        <v>387</v>
      </c>
      <c r="D84" s="25">
        <v>0</v>
      </c>
      <c r="E84" s="55"/>
      <c r="F84" s="54"/>
    </row>
    <row r="85" spans="1:6" ht="12.75">
      <c r="A85" s="3" t="s">
        <v>117</v>
      </c>
      <c r="B85" t="s">
        <v>72</v>
      </c>
      <c r="C85" t="s">
        <v>388</v>
      </c>
      <c r="D85" s="25">
        <v>0</v>
      </c>
      <c r="E85" s="55"/>
      <c r="F85" s="54"/>
    </row>
    <row r="86" spans="1:6" ht="12.75">
      <c r="A86" s="3" t="s">
        <v>118</v>
      </c>
      <c r="B86" t="s">
        <v>44</v>
      </c>
      <c r="C86" t="s">
        <v>389</v>
      </c>
      <c r="D86" s="25">
        <v>0</v>
      </c>
      <c r="E86" s="55"/>
      <c r="F86" s="54"/>
    </row>
    <row r="87" spans="1:6" ht="12.75">
      <c r="A87" s="3" t="s">
        <v>119</v>
      </c>
      <c r="B87" t="s">
        <v>44</v>
      </c>
      <c r="C87" t="s">
        <v>390</v>
      </c>
      <c r="D87" s="25">
        <v>0</v>
      </c>
      <c r="E87" s="55"/>
      <c r="F87" s="54"/>
    </row>
    <row r="88" spans="1:6" ht="12.75">
      <c r="A88" s="3" t="s">
        <v>120</v>
      </c>
      <c r="B88" t="s">
        <v>44</v>
      </c>
      <c r="C88" t="s">
        <v>391</v>
      </c>
      <c r="D88" s="25">
        <v>0</v>
      </c>
      <c r="E88" s="55"/>
      <c r="F88" s="54"/>
    </row>
    <row r="89" spans="1:6" ht="12.75">
      <c r="A89" s="3" t="s">
        <v>121</v>
      </c>
      <c r="B89" t="s">
        <v>44</v>
      </c>
      <c r="C89" t="s">
        <v>392</v>
      </c>
      <c r="D89" s="25">
        <v>0</v>
      </c>
      <c r="E89" s="55"/>
      <c r="F89" s="54"/>
    </row>
    <row r="90" spans="1:6" ht="12.75">
      <c r="A90" s="3" t="s">
        <v>122</v>
      </c>
      <c r="B90" t="s">
        <v>44</v>
      </c>
      <c r="C90" t="s">
        <v>393</v>
      </c>
      <c r="D90" s="25">
        <v>0</v>
      </c>
      <c r="E90" s="55"/>
      <c r="F90" s="54"/>
    </row>
    <row r="91" spans="1:6" ht="12.75">
      <c r="A91" s="3" t="s">
        <v>123</v>
      </c>
      <c r="B91" t="s">
        <v>124</v>
      </c>
      <c r="C91" t="s">
        <v>394</v>
      </c>
      <c r="D91" s="25">
        <v>0</v>
      </c>
      <c r="E91" s="55"/>
      <c r="F91" s="54"/>
    </row>
    <row r="92" spans="1:6" ht="12.75">
      <c r="A92" s="3" t="s">
        <v>125</v>
      </c>
      <c r="B92" t="s">
        <v>126</v>
      </c>
      <c r="C92" t="s">
        <v>395</v>
      </c>
      <c r="D92" s="25">
        <v>1</v>
      </c>
      <c r="E92" s="55"/>
      <c r="F92" s="54"/>
    </row>
    <row r="93" spans="1:6" ht="12.75">
      <c r="A93" s="3" t="s">
        <v>127</v>
      </c>
      <c r="B93" t="s">
        <v>126</v>
      </c>
      <c r="C93" t="s">
        <v>396</v>
      </c>
      <c r="D93" s="25">
        <v>0</v>
      </c>
      <c r="E93" s="55"/>
      <c r="F93" s="54"/>
    </row>
    <row r="94" spans="1:6" ht="12.75">
      <c r="A94" s="3" t="s">
        <v>128</v>
      </c>
      <c r="B94" t="s">
        <v>126</v>
      </c>
      <c r="C94" t="s">
        <v>397</v>
      </c>
      <c r="D94" s="25">
        <v>0</v>
      </c>
      <c r="E94" s="55"/>
      <c r="F94" s="54"/>
    </row>
    <row r="95" spans="1:6" ht="12.75">
      <c r="A95" s="3" t="s">
        <v>129</v>
      </c>
      <c r="B95" t="s">
        <v>130</v>
      </c>
      <c r="C95" t="s">
        <v>398</v>
      </c>
      <c r="D95" s="25">
        <v>5</v>
      </c>
      <c r="E95" s="55"/>
      <c r="F95" s="54"/>
    </row>
    <row r="96" spans="1:6" ht="12.75">
      <c r="A96" s="3" t="s">
        <v>131</v>
      </c>
      <c r="B96" t="s">
        <v>130</v>
      </c>
      <c r="C96" t="s">
        <v>399</v>
      </c>
      <c r="D96" s="25">
        <v>2</v>
      </c>
      <c r="E96" s="55"/>
      <c r="F96" s="54"/>
    </row>
    <row r="97" spans="1:6" ht="12.75">
      <c r="A97" s="3" t="s">
        <v>132</v>
      </c>
      <c r="B97" t="s">
        <v>130</v>
      </c>
      <c r="C97" t="s">
        <v>400</v>
      </c>
      <c r="D97" s="25">
        <v>0</v>
      </c>
      <c r="E97" s="55"/>
      <c r="F97" s="54"/>
    </row>
    <row r="98" spans="1:6" ht="12.75">
      <c r="A98" s="3" t="s">
        <v>133</v>
      </c>
      <c r="B98" t="s">
        <v>34</v>
      </c>
      <c r="C98" t="s">
        <v>401</v>
      </c>
      <c r="D98" s="25">
        <v>0</v>
      </c>
      <c r="E98" s="55"/>
      <c r="F98" s="54"/>
    </row>
    <row r="99" spans="1:6" ht="12.75">
      <c r="A99" s="3" t="s">
        <v>134</v>
      </c>
      <c r="B99" t="s">
        <v>34</v>
      </c>
      <c r="C99" t="s">
        <v>402</v>
      </c>
      <c r="D99" s="25">
        <v>0</v>
      </c>
      <c r="E99" s="55"/>
      <c r="F99" s="54"/>
    </row>
    <row r="100" spans="1:6" ht="12.75">
      <c r="A100" s="3" t="s">
        <v>135</v>
      </c>
      <c r="B100" t="s">
        <v>34</v>
      </c>
      <c r="C100" t="s">
        <v>403</v>
      </c>
      <c r="D100" s="25">
        <v>0</v>
      </c>
      <c r="E100" s="55"/>
      <c r="F100" s="54"/>
    </row>
    <row r="101" spans="1:6" ht="12.75">
      <c r="A101" s="3" t="s">
        <v>136</v>
      </c>
      <c r="B101" t="s">
        <v>34</v>
      </c>
      <c r="C101" t="s">
        <v>404</v>
      </c>
      <c r="D101" s="25">
        <v>0</v>
      </c>
      <c r="E101" s="55"/>
      <c r="F101" s="54"/>
    </row>
    <row r="102" spans="1:6" ht="12.75">
      <c r="A102" s="3" t="s">
        <v>137</v>
      </c>
      <c r="B102" t="s">
        <v>34</v>
      </c>
      <c r="C102" t="s">
        <v>405</v>
      </c>
      <c r="D102" s="25">
        <v>0</v>
      </c>
      <c r="E102" s="55"/>
      <c r="F102" s="54"/>
    </row>
    <row r="103" spans="1:6" ht="12.75">
      <c r="A103" s="3" t="s">
        <v>138</v>
      </c>
      <c r="B103" t="s">
        <v>34</v>
      </c>
      <c r="C103" t="s">
        <v>406</v>
      </c>
      <c r="D103" s="25">
        <v>0</v>
      </c>
      <c r="E103" s="55"/>
      <c r="F103" s="54"/>
    </row>
    <row r="104" spans="1:6" ht="12.75">
      <c r="A104" s="3" t="s">
        <v>139</v>
      </c>
      <c r="B104" t="s">
        <v>140</v>
      </c>
      <c r="C104" t="s">
        <v>407</v>
      </c>
      <c r="D104" s="25">
        <v>0</v>
      </c>
      <c r="E104" s="55"/>
      <c r="F104" s="54"/>
    </row>
    <row r="105" spans="1:6" ht="12.75">
      <c r="A105" s="3" t="s">
        <v>141</v>
      </c>
      <c r="B105" t="s">
        <v>140</v>
      </c>
      <c r="C105" t="s">
        <v>408</v>
      </c>
      <c r="D105" s="25">
        <v>0</v>
      </c>
      <c r="E105" s="55"/>
      <c r="F105" s="54"/>
    </row>
    <row r="106" spans="1:6" ht="12.75">
      <c r="A106" s="3" t="s">
        <v>142</v>
      </c>
      <c r="B106" t="s">
        <v>140</v>
      </c>
      <c r="C106" t="s">
        <v>409</v>
      </c>
      <c r="D106" s="25">
        <v>0</v>
      </c>
      <c r="E106" s="55"/>
      <c r="F106" s="54"/>
    </row>
    <row r="107" spans="1:6" ht="12.75">
      <c r="A107" s="3" t="s">
        <v>143</v>
      </c>
      <c r="B107" t="s">
        <v>144</v>
      </c>
      <c r="C107" t="s">
        <v>410</v>
      </c>
      <c r="D107" s="25">
        <v>0</v>
      </c>
      <c r="E107" s="55"/>
      <c r="F107" s="54"/>
    </row>
    <row r="108" spans="1:6" ht="12.75">
      <c r="A108" s="3" t="s">
        <v>145</v>
      </c>
      <c r="B108" t="s">
        <v>144</v>
      </c>
      <c r="C108" t="s">
        <v>411</v>
      </c>
      <c r="D108" s="25">
        <v>0</v>
      </c>
      <c r="E108" s="55"/>
      <c r="F108" s="54"/>
    </row>
    <row r="109" spans="1:6" ht="12.75">
      <c r="A109" s="3" t="s">
        <v>146</v>
      </c>
      <c r="B109" t="s">
        <v>144</v>
      </c>
      <c r="C109" t="s">
        <v>412</v>
      </c>
      <c r="D109" s="25">
        <v>0</v>
      </c>
      <c r="E109" s="55"/>
      <c r="F109" s="54"/>
    </row>
    <row r="110" spans="1:6" ht="12.75">
      <c r="A110" s="3" t="s">
        <v>147</v>
      </c>
      <c r="B110" t="s">
        <v>144</v>
      </c>
      <c r="C110" t="s">
        <v>413</v>
      </c>
      <c r="D110" s="25">
        <v>0</v>
      </c>
      <c r="E110" s="55"/>
      <c r="F110" s="54"/>
    </row>
    <row r="111" spans="1:6" ht="12.75">
      <c r="A111" s="3" t="s">
        <v>148</v>
      </c>
      <c r="B111" t="s">
        <v>149</v>
      </c>
      <c r="C111" t="s">
        <v>414</v>
      </c>
      <c r="D111" s="25">
        <v>0</v>
      </c>
      <c r="E111" s="55"/>
      <c r="F111" s="54"/>
    </row>
    <row r="112" spans="1:6" ht="12.75">
      <c r="A112" s="3" t="s">
        <v>150</v>
      </c>
      <c r="B112" t="s">
        <v>149</v>
      </c>
      <c r="C112" t="s">
        <v>415</v>
      </c>
      <c r="D112" s="25">
        <v>0</v>
      </c>
      <c r="E112" s="55"/>
      <c r="F112" s="54"/>
    </row>
    <row r="113" spans="1:6" ht="12.75">
      <c r="A113" s="3" t="s">
        <v>151</v>
      </c>
      <c r="B113" t="s">
        <v>149</v>
      </c>
      <c r="C113" t="s">
        <v>416</v>
      </c>
      <c r="D113" s="25">
        <v>3</v>
      </c>
      <c r="E113" s="55"/>
      <c r="F113" s="54"/>
    </row>
    <row r="114" spans="1:6" ht="12.75">
      <c r="A114" s="3" t="s">
        <v>152</v>
      </c>
      <c r="B114" t="s">
        <v>153</v>
      </c>
      <c r="C114" t="s">
        <v>417</v>
      </c>
      <c r="D114" s="25">
        <v>0</v>
      </c>
      <c r="E114" s="55"/>
      <c r="F114" s="54"/>
    </row>
    <row r="115" spans="1:6" ht="12.75">
      <c r="A115" s="3" t="s">
        <v>154</v>
      </c>
      <c r="B115" t="s">
        <v>155</v>
      </c>
      <c r="C115" t="s">
        <v>418</v>
      </c>
      <c r="D115" s="25">
        <v>0</v>
      </c>
      <c r="E115" s="55"/>
      <c r="F115" s="54"/>
    </row>
    <row r="116" spans="1:6" ht="12.75">
      <c r="A116" s="3" t="s">
        <v>156</v>
      </c>
      <c r="B116" t="s">
        <v>157</v>
      </c>
      <c r="C116" t="s">
        <v>419</v>
      </c>
      <c r="D116" s="25">
        <v>3</v>
      </c>
      <c r="E116" s="55"/>
      <c r="F116" s="54"/>
    </row>
    <row r="117" spans="1:6" ht="12.75">
      <c r="A117" s="3" t="s">
        <v>158</v>
      </c>
      <c r="B117" t="s">
        <v>157</v>
      </c>
      <c r="C117" t="s">
        <v>420</v>
      </c>
      <c r="D117" s="25">
        <v>0</v>
      </c>
      <c r="E117" s="55"/>
      <c r="F117" s="54"/>
    </row>
    <row r="118" spans="1:6" ht="12.75">
      <c r="A118" s="3" t="s">
        <v>159</v>
      </c>
      <c r="B118" t="s">
        <v>157</v>
      </c>
      <c r="C118" t="s">
        <v>421</v>
      </c>
      <c r="D118" s="25">
        <v>0</v>
      </c>
      <c r="E118" s="55"/>
      <c r="F118" s="54"/>
    </row>
    <row r="119" spans="1:6" ht="12.75">
      <c r="A119" s="3" t="s">
        <v>160</v>
      </c>
      <c r="B119" t="s">
        <v>161</v>
      </c>
      <c r="C119" t="s">
        <v>422</v>
      </c>
      <c r="D119" s="25">
        <v>1</v>
      </c>
      <c r="E119" s="55"/>
      <c r="F119" s="54"/>
    </row>
    <row r="120" spans="1:6" ht="12.75">
      <c r="A120" s="3" t="s">
        <v>162</v>
      </c>
      <c r="B120" t="s">
        <v>161</v>
      </c>
      <c r="C120" t="s">
        <v>423</v>
      </c>
      <c r="D120" s="25">
        <v>1</v>
      </c>
      <c r="E120" s="55"/>
      <c r="F120" s="54"/>
    </row>
    <row r="121" spans="1:6" ht="12.75">
      <c r="A121" s="3" t="s">
        <v>163</v>
      </c>
      <c r="B121" t="s">
        <v>164</v>
      </c>
      <c r="C121" t="s">
        <v>424</v>
      </c>
      <c r="D121" s="25">
        <v>0</v>
      </c>
      <c r="E121" s="55"/>
      <c r="F121" s="54"/>
    </row>
    <row r="122" spans="1:6" ht="12.75">
      <c r="A122" s="3" t="s">
        <v>165</v>
      </c>
      <c r="B122" t="s">
        <v>164</v>
      </c>
      <c r="C122" t="s">
        <v>425</v>
      </c>
      <c r="D122" s="25">
        <v>0</v>
      </c>
      <c r="E122" s="55"/>
      <c r="F122" s="54"/>
    </row>
    <row r="123" spans="1:6" ht="12.75">
      <c r="A123" s="3" t="s">
        <v>166</v>
      </c>
      <c r="B123" t="s">
        <v>164</v>
      </c>
      <c r="C123" t="s">
        <v>426</v>
      </c>
      <c r="D123" s="25">
        <v>0</v>
      </c>
      <c r="E123" s="55"/>
      <c r="F123" s="54"/>
    </row>
    <row r="124" spans="1:6" ht="12.75">
      <c r="A124" s="3" t="s">
        <v>167</v>
      </c>
      <c r="B124" t="s">
        <v>164</v>
      </c>
      <c r="C124" t="s">
        <v>427</v>
      </c>
      <c r="D124" s="25">
        <v>0</v>
      </c>
      <c r="E124" s="55"/>
      <c r="F124" s="54"/>
    </row>
    <row r="125" spans="1:6" ht="12.75">
      <c r="A125" s="3" t="s">
        <v>168</v>
      </c>
      <c r="B125" t="s">
        <v>169</v>
      </c>
      <c r="C125" t="s">
        <v>428</v>
      </c>
      <c r="D125" s="25">
        <v>0</v>
      </c>
      <c r="E125" s="55"/>
      <c r="F125" s="54"/>
    </row>
    <row r="126" spans="1:6" ht="12.75">
      <c r="A126" s="3" t="s">
        <v>170</v>
      </c>
      <c r="B126" t="s">
        <v>169</v>
      </c>
      <c r="C126" t="s">
        <v>429</v>
      </c>
      <c r="D126" s="25">
        <v>0</v>
      </c>
      <c r="E126" s="55"/>
      <c r="F126" s="54"/>
    </row>
    <row r="127" spans="1:6" ht="12.75">
      <c r="A127" s="3" t="s">
        <v>171</v>
      </c>
      <c r="B127" t="s">
        <v>169</v>
      </c>
      <c r="C127" t="s">
        <v>430</v>
      </c>
      <c r="D127" s="25">
        <v>0</v>
      </c>
      <c r="E127" s="55"/>
      <c r="F127" s="54"/>
    </row>
    <row r="128" spans="1:6" ht="12.75">
      <c r="A128" s="3" t="s">
        <v>172</v>
      </c>
      <c r="B128" t="s">
        <v>169</v>
      </c>
      <c r="C128" t="s">
        <v>431</v>
      </c>
      <c r="D128" s="25">
        <v>0</v>
      </c>
      <c r="E128" s="55"/>
      <c r="F128" s="54"/>
    </row>
    <row r="129" spans="1:6" ht="12.75">
      <c r="A129" s="3" t="s">
        <v>173</v>
      </c>
      <c r="B129" t="s">
        <v>169</v>
      </c>
      <c r="C129" t="s">
        <v>432</v>
      </c>
      <c r="D129" s="25">
        <v>0</v>
      </c>
      <c r="E129" s="55"/>
      <c r="F129" s="54"/>
    </row>
    <row r="130" spans="1:6" ht="12.75">
      <c r="A130" s="3" t="s">
        <v>174</v>
      </c>
      <c r="B130" t="s">
        <v>169</v>
      </c>
      <c r="C130" t="s">
        <v>433</v>
      </c>
      <c r="D130" s="25">
        <v>0</v>
      </c>
      <c r="E130" s="55"/>
      <c r="F130" s="54"/>
    </row>
    <row r="131" spans="1:6" ht="12.75">
      <c r="A131" s="3" t="s">
        <v>175</v>
      </c>
      <c r="B131" t="s">
        <v>176</v>
      </c>
      <c r="C131" t="s">
        <v>434</v>
      </c>
      <c r="D131" s="25">
        <v>0</v>
      </c>
      <c r="E131" s="55"/>
      <c r="F131" s="54"/>
    </row>
    <row r="132" spans="1:6" ht="12.75">
      <c r="A132" s="3" t="s">
        <v>177</v>
      </c>
      <c r="B132" t="s">
        <v>176</v>
      </c>
      <c r="C132" t="s">
        <v>435</v>
      </c>
      <c r="D132" s="25">
        <v>0</v>
      </c>
      <c r="E132" s="55"/>
      <c r="F132" s="54"/>
    </row>
    <row r="133" spans="1:6" ht="12.75">
      <c r="A133" s="3" t="s">
        <v>178</v>
      </c>
      <c r="B133" t="s">
        <v>179</v>
      </c>
      <c r="C133" t="s">
        <v>436</v>
      </c>
      <c r="D133" s="25">
        <v>0</v>
      </c>
      <c r="E133" s="55"/>
      <c r="F133" s="54"/>
    </row>
    <row r="134" spans="1:6" ht="12.75">
      <c r="A134" s="3" t="s">
        <v>180</v>
      </c>
      <c r="B134" t="s">
        <v>179</v>
      </c>
      <c r="C134" t="s">
        <v>437</v>
      </c>
      <c r="D134" s="25">
        <v>2</v>
      </c>
      <c r="E134" s="55"/>
      <c r="F134" s="54"/>
    </row>
    <row r="135" spans="1:6" ht="12.75">
      <c r="A135" s="3" t="s">
        <v>181</v>
      </c>
      <c r="B135" t="s">
        <v>182</v>
      </c>
      <c r="C135" t="s">
        <v>438</v>
      </c>
      <c r="D135" s="25">
        <v>0</v>
      </c>
      <c r="E135" s="55"/>
      <c r="F135" s="54"/>
    </row>
    <row r="136" spans="1:6" ht="12.75">
      <c r="A136" s="3" t="s">
        <v>183</v>
      </c>
      <c r="B136" t="s">
        <v>182</v>
      </c>
      <c r="C136" t="s">
        <v>439</v>
      </c>
      <c r="D136" s="25">
        <v>0</v>
      </c>
      <c r="E136" s="55"/>
      <c r="F136" s="54"/>
    </row>
    <row r="137" spans="1:6" ht="12.75">
      <c r="A137" s="3" t="s">
        <v>184</v>
      </c>
      <c r="B137" t="s">
        <v>185</v>
      </c>
      <c r="C137" t="s">
        <v>440</v>
      </c>
      <c r="D137" s="25">
        <v>1</v>
      </c>
      <c r="E137" s="55"/>
      <c r="F137" s="54"/>
    </row>
    <row r="138" spans="1:6" ht="12.75">
      <c r="A138" s="3" t="s">
        <v>186</v>
      </c>
      <c r="B138" t="s">
        <v>187</v>
      </c>
      <c r="C138" t="s">
        <v>441</v>
      </c>
      <c r="D138" s="25">
        <v>0</v>
      </c>
      <c r="E138" s="55"/>
      <c r="F138" s="54"/>
    </row>
    <row r="139" spans="1:6" ht="12.75">
      <c r="A139" s="3" t="s">
        <v>188</v>
      </c>
      <c r="B139" t="s">
        <v>187</v>
      </c>
      <c r="C139" t="s">
        <v>442</v>
      </c>
      <c r="D139" s="25">
        <v>1</v>
      </c>
      <c r="E139" s="55"/>
      <c r="F139" s="54"/>
    </row>
    <row r="140" spans="1:6" ht="12.75">
      <c r="A140" s="3" t="s">
        <v>189</v>
      </c>
      <c r="B140" t="s">
        <v>187</v>
      </c>
      <c r="C140" t="s">
        <v>443</v>
      </c>
      <c r="D140" s="25">
        <v>0</v>
      </c>
      <c r="E140" s="55"/>
      <c r="F140" s="54"/>
    </row>
    <row r="141" spans="1:6" ht="12.75">
      <c r="A141" s="3" t="s">
        <v>190</v>
      </c>
      <c r="B141" t="s">
        <v>187</v>
      </c>
      <c r="C141" t="s">
        <v>444</v>
      </c>
      <c r="D141" s="25">
        <v>0</v>
      </c>
      <c r="E141" s="55"/>
      <c r="F141" s="54"/>
    </row>
    <row r="142" spans="1:6" ht="12.75">
      <c r="A142" s="3" t="s">
        <v>191</v>
      </c>
      <c r="B142" t="s">
        <v>192</v>
      </c>
      <c r="C142" t="s">
        <v>445</v>
      </c>
      <c r="D142" s="25">
        <v>3</v>
      </c>
      <c r="E142" s="55"/>
      <c r="F142" s="54"/>
    </row>
    <row r="143" spans="1:6" ht="12.75">
      <c r="A143" s="3" t="s">
        <v>193</v>
      </c>
      <c r="B143" t="s">
        <v>192</v>
      </c>
      <c r="C143" t="s">
        <v>446</v>
      </c>
      <c r="D143" s="25">
        <v>3</v>
      </c>
      <c r="E143" s="55"/>
      <c r="F143" s="54"/>
    </row>
    <row r="144" spans="1:6" ht="12.75">
      <c r="A144" s="3" t="s">
        <v>194</v>
      </c>
      <c r="B144" t="s">
        <v>195</v>
      </c>
      <c r="C144" t="s">
        <v>447</v>
      </c>
      <c r="D144" s="25">
        <v>0</v>
      </c>
      <c r="E144" s="55"/>
      <c r="F144" s="54"/>
    </row>
    <row r="145" spans="1:6" ht="12.75">
      <c r="A145" s="3" t="s">
        <v>196</v>
      </c>
      <c r="B145" t="s">
        <v>195</v>
      </c>
      <c r="C145" t="s">
        <v>448</v>
      </c>
      <c r="D145" s="25">
        <v>0</v>
      </c>
      <c r="E145" s="55"/>
      <c r="F145" s="54"/>
    </row>
    <row r="146" spans="1:6" ht="12.75">
      <c r="A146" s="3" t="s">
        <v>197</v>
      </c>
      <c r="B146" t="s">
        <v>198</v>
      </c>
      <c r="C146" t="s">
        <v>449</v>
      </c>
      <c r="D146" s="25">
        <v>0</v>
      </c>
      <c r="E146" s="55"/>
      <c r="F146" s="54"/>
    </row>
    <row r="147" spans="1:6" ht="12.75">
      <c r="A147" s="3" t="s">
        <v>199</v>
      </c>
      <c r="B147" t="s">
        <v>198</v>
      </c>
      <c r="C147" t="s">
        <v>450</v>
      </c>
      <c r="D147" s="25">
        <v>0</v>
      </c>
      <c r="E147" s="55"/>
      <c r="F147" s="54"/>
    </row>
    <row r="148" spans="1:6" ht="12.75">
      <c r="A148" s="3" t="s">
        <v>200</v>
      </c>
      <c r="B148" t="s">
        <v>198</v>
      </c>
      <c r="C148" t="s">
        <v>451</v>
      </c>
      <c r="D148" s="25">
        <v>0</v>
      </c>
      <c r="E148" s="55"/>
      <c r="F148" s="54"/>
    </row>
    <row r="149" spans="1:6" ht="12.75">
      <c r="A149" s="3" t="s">
        <v>201</v>
      </c>
      <c r="B149" t="s">
        <v>202</v>
      </c>
      <c r="C149" t="s">
        <v>452</v>
      </c>
      <c r="D149" s="25">
        <v>0</v>
      </c>
      <c r="E149" s="55"/>
      <c r="F149" s="54"/>
    </row>
    <row r="150" spans="1:6" ht="12.75">
      <c r="A150" s="3" t="s">
        <v>203</v>
      </c>
      <c r="B150" t="s">
        <v>202</v>
      </c>
      <c r="C150" t="s">
        <v>453</v>
      </c>
      <c r="D150" s="25">
        <v>1</v>
      </c>
      <c r="E150" s="55"/>
      <c r="F150" s="54"/>
    </row>
    <row r="151" spans="1:6" ht="12.75">
      <c r="A151" s="3" t="s">
        <v>204</v>
      </c>
      <c r="B151" t="s">
        <v>202</v>
      </c>
      <c r="C151" t="s">
        <v>454</v>
      </c>
      <c r="D151" s="25">
        <v>0</v>
      </c>
      <c r="E151" s="55"/>
      <c r="F151" s="54"/>
    </row>
    <row r="152" spans="1:6" ht="12.75">
      <c r="A152" s="3" t="s">
        <v>205</v>
      </c>
      <c r="B152" t="s">
        <v>206</v>
      </c>
      <c r="C152" t="s">
        <v>455</v>
      </c>
      <c r="D152" s="25">
        <v>0</v>
      </c>
      <c r="E152" s="55"/>
      <c r="F152" s="54"/>
    </row>
    <row r="153" spans="1:6" ht="12.75">
      <c r="A153" s="3" t="s">
        <v>207</v>
      </c>
      <c r="B153" t="s">
        <v>206</v>
      </c>
      <c r="C153" t="s">
        <v>456</v>
      </c>
      <c r="D153" s="25">
        <v>1</v>
      </c>
      <c r="E153" s="55"/>
      <c r="F153" s="54"/>
    </row>
    <row r="154" spans="1:6" ht="12.75">
      <c r="A154" s="3" t="s">
        <v>208</v>
      </c>
      <c r="B154" t="s">
        <v>206</v>
      </c>
      <c r="C154" t="s">
        <v>457</v>
      </c>
      <c r="D154" s="25">
        <v>0</v>
      </c>
      <c r="E154" s="55"/>
      <c r="F154" s="54"/>
    </row>
    <row r="155" spans="1:6" ht="12.75">
      <c r="A155" s="3" t="s">
        <v>209</v>
      </c>
      <c r="B155" t="s">
        <v>210</v>
      </c>
      <c r="C155" t="s">
        <v>458</v>
      </c>
      <c r="D155" s="25">
        <v>0</v>
      </c>
      <c r="E155" s="55"/>
      <c r="F155" s="54"/>
    </row>
    <row r="156" spans="1:6" ht="12.75">
      <c r="A156" s="3" t="s">
        <v>211</v>
      </c>
      <c r="B156" t="s">
        <v>212</v>
      </c>
      <c r="C156" t="s">
        <v>459</v>
      </c>
      <c r="D156" s="25">
        <v>0</v>
      </c>
      <c r="E156" s="55"/>
      <c r="F156" s="54"/>
    </row>
    <row r="157" spans="1:6" ht="12.75">
      <c r="A157" s="3" t="s">
        <v>213</v>
      </c>
      <c r="B157" t="s">
        <v>212</v>
      </c>
      <c r="C157" t="s">
        <v>460</v>
      </c>
      <c r="D157" s="25">
        <v>0</v>
      </c>
      <c r="E157" s="55"/>
      <c r="F157" s="54"/>
    </row>
    <row r="158" spans="1:6" ht="12.75">
      <c r="A158" s="3" t="s">
        <v>214</v>
      </c>
      <c r="B158" t="s">
        <v>215</v>
      </c>
      <c r="C158" t="s">
        <v>461</v>
      </c>
      <c r="D158" s="25">
        <v>0</v>
      </c>
      <c r="E158" s="55"/>
      <c r="F158" s="54"/>
    </row>
    <row r="159" spans="1:6" ht="12.75">
      <c r="A159" s="3" t="s">
        <v>216</v>
      </c>
      <c r="B159" t="s">
        <v>215</v>
      </c>
      <c r="C159" t="s">
        <v>462</v>
      </c>
      <c r="D159" s="25">
        <v>0</v>
      </c>
      <c r="E159" s="55"/>
      <c r="F159" s="54"/>
    </row>
    <row r="160" spans="1:6" ht="12.75">
      <c r="A160" s="3" t="s">
        <v>217</v>
      </c>
      <c r="B160" t="s">
        <v>218</v>
      </c>
      <c r="C160" t="s">
        <v>463</v>
      </c>
      <c r="D160" s="25">
        <v>0</v>
      </c>
      <c r="E160" s="55"/>
      <c r="F160" s="54"/>
    </row>
    <row r="161" spans="1:6" ht="12.75">
      <c r="A161" s="3" t="s">
        <v>219</v>
      </c>
      <c r="B161" t="s">
        <v>220</v>
      </c>
      <c r="C161" t="s">
        <v>464</v>
      </c>
      <c r="D161" s="25">
        <v>0</v>
      </c>
      <c r="E161" s="55"/>
      <c r="F161" s="54"/>
    </row>
    <row r="162" spans="1:6" ht="12.75">
      <c r="A162" s="3" t="s">
        <v>221</v>
      </c>
      <c r="B162" t="s">
        <v>220</v>
      </c>
      <c r="C162" t="s">
        <v>465</v>
      </c>
      <c r="D162" s="25">
        <v>0</v>
      </c>
      <c r="E162" s="55"/>
      <c r="F162" s="54"/>
    </row>
    <row r="163" spans="1:6" ht="12.75">
      <c r="A163" s="3" t="s">
        <v>222</v>
      </c>
      <c r="B163" t="s">
        <v>223</v>
      </c>
      <c r="C163" t="s">
        <v>466</v>
      </c>
      <c r="D163" s="25">
        <v>0</v>
      </c>
      <c r="E163" s="55"/>
      <c r="F163" s="54"/>
    </row>
    <row r="164" spans="1:6" ht="12.75">
      <c r="A164" s="3" t="s">
        <v>224</v>
      </c>
      <c r="B164" t="s">
        <v>223</v>
      </c>
      <c r="C164" t="s">
        <v>467</v>
      </c>
      <c r="D164" s="25">
        <v>0</v>
      </c>
      <c r="E164" s="55"/>
      <c r="F164" s="54"/>
    </row>
    <row r="165" spans="1:6" ht="12.75">
      <c r="A165" s="3" t="s">
        <v>225</v>
      </c>
      <c r="B165" t="s">
        <v>223</v>
      </c>
      <c r="C165" t="s">
        <v>468</v>
      </c>
      <c r="D165" s="25">
        <v>0</v>
      </c>
      <c r="E165" s="55"/>
      <c r="F165" s="54"/>
    </row>
    <row r="166" spans="1:6" ht="12.75">
      <c r="A166" s="3" t="s">
        <v>226</v>
      </c>
      <c r="B166" t="s">
        <v>223</v>
      </c>
      <c r="C166" t="s">
        <v>469</v>
      </c>
      <c r="D166" s="25">
        <v>0</v>
      </c>
      <c r="E166" s="55"/>
      <c r="F166" s="54"/>
    </row>
    <row r="167" spans="1:6" ht="12.75">
      <c r="A167" s="3" t="s">
        <v>227</v>
      </c>
      <c r="B167" t="s">
        <v>223</v>
      </c>
      <c r="C167" t="s">
        <v>470</v>
      </c>
      <c r="D167" s="25">
        <v>0</v>
      </c>
      <c r="E167" s="55"/>
      <c r="F167" s="54"/>
    </row>
    <row r="168" spans="1:6" ht="12.75">
      <c r="A168" s="3" t="s">
        <v>228</v>
      </c>
      <c r="B168" t="s">
        <v>229</v>
      </c>
      <c r="C168" t="s">
        <v>495</v>
      </c>
      <c r="D168" s="25">
        <v>0</v>
      </c>
      <c r="E168" s="55"/>
      <c r="F168" s="54"/>
    </row>
    <row r="169" spans="1:6" ht="12.75">
      <c r="A169" s="3" t="s">
        <v>230</v>
      </c>
      <c r="B169" t="s">
        <v>229</v>
      </c>
      <c r="C169" t="s">
        <v>471</v>
      </c>
      <c r="D169" s="25">
        <v>0</v>
      </c>
      <c r="E169" s="55"/>
      <c r="F169" s="54"/>
    </row>
    <row r="170" spans="1:6" ht="12.75">
      <c r="A170" s="3" t="s">
        <v>231</v>
      </c>
      <c r="B170" t="s">
        <v>229</v>
      </c>
      <c r="C170" t="s">
        <v>472</v>
      </c>
      <c r="D170" s="25">
        <v>1</v>
      </c>
      <c r="E170" s="55"/>
      <c r="F170" s="54"/>
    </row>
    <row r="171" spans="1:6" ht="12.75">
      <c r="A171" s="3" t="s">
        <v>232</v>
      </c>
      <c r="B171" t="s">
        <v>229</v>
      </c>
      <c r="C171" t="s">
        <v>473</v>
      </c>
      <c r="D171" s="25">
        <v>2</v>
      </c>
      <c r="E171" s="55"/>
      <c r="F171" s="54"/>
    </row>
    <row r="172" spans="1:6" ht="12.75">
      <c r="A172" s="3" t="s">
        <v>233</v>
      </c>
      <c r="B172" t="s">
        <v>229</v>
      </c>
      <c r="C172" t="s">
        <v>474</v>
      </c>
      <c r="D172" s="25">
        <v>1</v>
      </c>
      <c r="E172" s="55"/>
      <c r="F172" s="54"/>
    </row>
    <row r="173" spans="1:6" ht="12.75">
      <c r="A173" s="3" t="s">
        <v>234</v>
      </c>
      <c r="B173" t="s">
        <v>229</v>
      </c>
      <c r="C173" t="s">
        <v>475</v>
      </c>
      <c r="D173" s="25">
        <v>6</v>
      </c>
      <c r="E173" s="55"/>
      <c r="F173" s="54"/>
    </row>
    <row r="174" spans="1:6" ht="12.75">
      <c r="A174" s="3" t="s">
        <v>235</v>
      </c>
      <c r="B174" t="s">
        <v>229</v>
      </c>
      <c r="C174" t="s">
        <v>476</v>
      </c>
      <c r="D174" s="25">
        <v>0</v>
      </c>
      <c r="E174" s="55"/>
      <c r="F174" s="54"/>
    </row>
    <row r="175" spans="1:6" ht="12.75">
      <c r="A175" s="3" t="s">
        <v>236</v>
      </c>
      <c r="B175" t="s">
        <v>229</v>
      </c>
      <c r="C175" t="s">
        <v>477</v>
      </c>
      <c r="D175" s="25">
        <v>0</v>
      </c>
      <c r="E175" s="55"/>
      <c r="F175" s="54"/>
    </row>
    <row r="176" spans="1:6" ht="12.75">
      <c r="A176" s="3" t="s">
        <v>237</v>
      </c>
      <c r="B176" t="s">
        <v>229</v>
      </c>
      <c r="C176" t="s">
        <v>478</v>
      </c>
      <c r="D176" s="25">
        <v>0</v>
      </c>
      <c r="E176" s="55"/>
      <c r="F176" s="54"/>
    </row>
    <row r="177" spans="1:6" ht="12.75">
      <c r="A177" s="3" t="s">
        <v>238</v>
      </c>
      <c r="B177" t="s">
        <v>229</v>
      </c>
      <c r="C177" t="s">
        <v>479</v>
      </c>
      <c r="D177" s="25">
        <v>0</v>
      </c>
      <c r="E177" s="55"/>
      <c r="F177" s="54"/>
    </row>
    <row r="178" spans="1:6" ht="12.75">
      <c r="A178" s="3" t="s">
        <v>239</v>
      </c>
      <c r="B178" t="s">
        <v>229</v>
      </c>
      <c r="C178" t="s">
        <v>480</v>
      </c>
      <c r="D178" s="25">
        <v>0</v>
      </c>
      <c r="E178" s="55"/>
      <c r="F178" s="54"/>
    </row>
    <row r="179" spans="1:6" ht="12.75">
      <c r="A179" s="3" t="s">
        <v>240</v>
      </c>
      <c r="B179" t="s">
        <v>229</v>
      </c>
      <c r="C179" t="s">
        <v>481</v>
      </c>
      <c r="D179" s="25">
        <v>0</v>
      </c>
      <c r="E179" s="55"/>
      <c r="F179" s="54"/>
    </row>
    <row r="180" spans="1:6" ht="12.75">
      <c r="A180" s="3">
        <v>3200</v>
      </c>
      <c r="B180" t="s">
        <v>241</v>
      </c>
      <c r="C180" t="s">
        <v>242</v>
      </c>
      <c r="D180" s="25">
        <v>0</v>
      </c>
      <c r="E180" s="55"/>
      <c r="F180" s="54"/>
    </row>
    <row r="181" spans="1:6" ht="12.75">
      <c r="A181" s="3">
        <v>3210</v>
      </c>
      <c r="B181" t="s">
        <v>241</v>
      </c>
      <c r="C181" t="s">
        <v>243</v>
      </c>
      <c r="D181" s="25">
        <v>0</v>
      </c>
      <c r="E181" s="55"/>
      <c r="F181" s="54"/>
    </row>
    <row r="182" spans="1:6" ht="12.75">
      <c r="A182" s="3">
        <v>3220</v>
      </c>
      <c r="B182" t="s">
        <v>241</v>
      </c>
      <c r="C182" t="s">
        <v>244</v>
      </c>
      <c r="D182" s="25">
        <v>0</v>
      </c>
      <c r="E182" s="55"/>
      <c r="F182" s="54"/>
    </row>
    <row r="183" spans="1:6" ht="12.75">
      <c r="A183" s="3">
        <v>3230</v>
      </c>
      <c r="B183" t="s">
        <v>241</v>
      </c>
      <c r="C183" t="s">
        <v>245</v>
      </c>
      <c r="D183" s="25">
        <v>0</v>
      </c>
      <c r="E183" s="55"/>
      <c r="F183" s="54"/>
    </row>
    <row r="184" spans="1:6" ht="12.75">
      <c r="A184" s="3">
        <v>8001</v>
      </c>
      <c r="B184" s="32" t="s">
        <v>303</v>
      </c>
      <c r="C184" s="58" t="s">
        <v>304</v>
      </c>
      <c r="D184" s="25">
        <v>37</v>
      </c>
      <c r="E184" s="55"/>
      <c r="F184" s="54"/>
    </row>
    <row r="185" spans="1:6" ht="12.75">
      <c r="A185" s="108">
        <v>8041</v>
      </c>
      <c r="B185" s="108">
        <v>8041</v>
      </c>
      <c r="C185" s="109" t="s">
        <v>523</v>
      </c>
      <c r="D185" s="25">
        <v>0</v>
      </c>
      <c r="E185" s="55"/>
      <c r="F185" s="54"/>
    </row>
    <row r="186" spans="1:6" ht="12.75">
      <c r="A186" s="108">
        <v>8042</v>
      </c>
      <c r="B186" s="108">
        <v>8042</v>
      </c>
      <c r="C186" s="109" t="s">
        <v>524</v>
      </c>
      <c r="D186" s="25">
        <v>0</v>
      </c>
      <c r="E186" s="55"/>
      <c r="F186" s="54"/>
    </row>
    <row r="187" spans="1:6" ht="12.75">
      <c r="A187" s="108">
        <v>9025</v>
      </c>
      <c r="B187" s="108">
        <v>9025</v>
      </c>
      <c r="C187" s="109" t="s">
        <v>247</v>
      </c>
      <c r="D187" s="25">
        <v>0</v>
      </c>
      <c r="E187" s="55"/>
      <c r="F187" s="54"/>
    </row>
    <row r="188" spans="1:6" ht="12.75">
      <c r="A188" s="3">
        <v>9030</v>
      </c>
      <c r="B188" s="3">
        <v>9030</v>
      </c>
      <c r="C188" t="s">
        <v>248</v>
      </c>
      <c r="D188" s="25">
        <v>0</v>
      </c>
      <c r="E188" s="55"/>
      <c r="F188" s="54"/>
    </row>
    <row r="189" spans="1:6" ht="12.75">
      <c r="A189" s="3">
        <v>9035</v>
      </c>
      <c r="B189" s="3">
        <v>9035</v>
      </c>
      <c r="C189" t="s">
        <v>249</v>
      </c>
      <c r="D189" s="25">
        <v>0</v>
      </c>
      <c r="E189" s="55"/>
      <c r="F189" s="54"/>
    </row>
    <row r="190" spans="1:6" ht="12.75">
      <c r="A190" s="3">
        <v>9040</v>
      </c>
      <c r="B190" s="3">
        <v>9040</v>
      </c>
      <c r="C190" t="s">
        <v>250</v>
      </c>
      <c r="D190" s="25">
        <v>0</v>
      </c>
      <c r="E190" s="55"/>
      <c r="F190" s="54"/>
    </row>
    <row r="191" spans="1:6" ht="12.75">
      <c r="A191" s="3">
        <v>9045</v>
      </c>
      <c r="B191" s="3">
        <v>9045</v>
      </c>
      <c r="C191" t="s">
        <v>251</v>
      </c>
      <c r="D191" s="25">
        <v>0</v>
      </c>
      <c r="E191" s="55"/>
      <c r="F191" s="54"/>
    </row>
    <row r="192" spans="1:6" ht="12.75">
      <c r="A192" s="3">
        <v>9050</v>
      </c>
      <c r="B192" s="3">
        <v>9050</v>
      </c>
      <c r="C192" t="s">
        <v>252</v>
      </c>
      <c r="D192" s="25">
        <v>0</v>
      </c>
      <c r="E192" s="55"/>
      <c r="F192" s="54"/>
    </row>
    <row r="193" spans="1:6" ht="12.75">
      <c r="A193" s="3">
        <v>9055</v>
      </c>
      <c r="B193" s="3">
        <v>9055</v>
      </c>
      <c r="C193" t="s">
        <v>253</v>
      </c>
      <c r="D193" s="25">
        <v>0</v>
      </c>
      <c r="E193" s="55"/>
      <c r="F193" s="54"/>
    </row>
    <row r="194" spans="1:6" ht="12.75">
      <c r="A194" s="3">
        <v>9060</v>
      </c>
      <c r="B194" s="3">
        <v>9060</v>
      </c>
      <c r="C194" t="s">
        <v>254</v>
      </c>
      <c r="D194" s="25">
        <v>0</v>
      </c>
      <c r="E194" s="55"/>
      <c r="F194" s="54"/>
    </row>
    <row r="195" spans="1:6" ht="12.75">
      <c r="A195" s="3">
        <v>9075</v>
      </c>
      <c r="B195" s="3">
        <v>9075</v>
      </c>
      <c r="C195" t="s">
        <v>255</v>
      </c>
      <c r="D195" s="25">
        <v>0</v>
      </c>
      <c r="E195" s="55"/>
      <c r="F195" s="54"/>
    </row>
    <row r="196" spans="1:6" ht="12.75">
      <c r="A196" s="3">
        <v>9095</v>
      </c>
      <c r="B196" s="3">
        <v>9095</v>
      </c>
      <c r="C196" t="s">
        <v>256</v>
      </c>
      <c r="D196" s="25">
        <v>0</v>
      </c>
      <c r="E196" s="55"/>
      <c r="F196" s="54"/>
    </row>
    <row r="197" spans="1:6" ht="12.75">
      <c r="A197" s="3">
        <v>9120</v>
      </c>
      <c r="B197" s="3">
        <v>9120</v>
      </c>
      <c r="C197" t="s">
        <v>257</v>
      </c>
      <c r="D197" s="25">
        <v>0</v>
      </c>
      <c r="E197" s="55"/>
      <c r="F197" s="54"/>
    </row>
    <row r="198" spans="1:6" ht="12.75">
      <c r="A198" s="3">
        <v>9125</v>
      </c>
      <c r="B198" s="3">
        <v>9125</v>
      </c>
      <c r="C198" t="s">
        <v>258</v>
      </c>
      <c r="D198" s="25">
        <v>0</v>
      </c>
      <c r="E198" s="55"/>
      <c r="F198" s="54"/>
    </row>
    <row r="199" spans="1:6" ht="12.75">
      <c r="A199" s="3">
        <v>9130</v>
      </c>
      <c r="B199" s="3">
        <v>9130</v>
      </c>
      <c r="C199" t="s">
        <v>482</v>
      </c>
      <c r="D199" s="25">
        <v>0</v>
      </c>
      <c r="E199" s="55"/>
      <c r="F199" s="54"/>
    </row>
    <row r="200" spans="1:6" ht="12.75">
      <c r="A200" s="3">
        <v>9135</v>
      </c>
      <c r="B200" s="3">
        <v>9135</v>
      </c>
      <c r="C200" t="s">
        <v>483</v>
      </c>
      <c r="D200" s="25">
        <v>0</v>
      </c>
      <c r="E200" s="55"/>
      <c r="F200" s="54"/>
    </row>
    <row r="201" spans="1:6" ht="12.75">
      <c r="A201" s="3">
        <v>9140</v>
      </c>
      <c r="B201" s="3">
        <v>9140</v>
      </c>
      <c r="C201" t="s">
        <v>259</v>
      </c>
      <c r="D201" s="25">
        <v>0</v>
      </c>
      <c r="E201" s="55"/>
      <c r="F201" s="54"/>
    </row>
    <row r="202" spans="1:6" ht="12.75">
      <c r="A202" s="3">
        <v>9145</v>
      </c>
      <c r="B202" s="3">
        <v>9145</v>
      </c>
      <c r="C202" t="s">
        <v>260</v>
      </c>
      <c r="D202" s="25">
        <v>0</v>
      </c>
      <c r="E202" s="55"/>
      <c r="F202" s="54"/>
    </row>
    <row r="203" spans="1:6" ht="12.75">
      <c r="A203" s="3">
        <v>9150</v>
      </c>
      <c r="B203" s="3">
        <v>9150</v>
      </c>
      <c r="C203" t="s">
        <v>261</v>
      </c>
      <c r="D203" s="25">
        <v>0</v>
      </c>
      <c r="E203" s="55"/>
      <c r="F203" s="54"/>
    </row>
    <row r="204" spans="1:6" ht="12.75">
      <c r="A204" s="3">
        <v>9160</v>
      </c>
      <c r="B204" s="3">
        <v>9160</v>
      </c>
      <c r="C204" t="s">
        <v>262</v>
      </c>
      <c r="D204" s="25">
        <v>0</v>
      </c>
      <c r="E204" s="55"/>
      <c r="F204" s="54"/>
    </row>
    <row r="205" spans="1:6" ht="12.75">
      <c r="A205" s="3">
        <v>9165</v>
      </c>
      <c r="B205" s="3">
        <v>9165</v>
      </c>
      <c r="C205" t="s">
        <v>484</v>
      </c>
      <c r="D205" s="25">
        <v>0</v>
      </c>
      <c r="E205" s="55"/>
      <c r="F205" s="54"/>
    </row>
    <row r="206" spans="1:6" ht="12.75">
      <c r="A206" s="3">
        <v>9170</v>
      </c>
      <c r="B206" s="3">
        <v>9170</v>
      </c>
      <c r="C206" t="s">
        <v>537</v>
      </c>
      <c r="D206" s="25">
        <v>0</v>
      </c>
      <c r="E206" s="55"/>
      <c r="F206" s="54"/>
    </row>
    <row r="207" spans="1:6" ht="12.75">
      <c r="A207" s="3">
        <v>9175</v>
      </c>
      <c r="B207" s="3">
        <v>9175</v>
      </c>
      <c r="C207" t="s">
        <v>538</v>
      </c>
      <c r="D207" s="25">
        <v>0</v>
      </c>
      <c r="E207" s="9"/>
      <c r="F207" s="54"/>
    </row>
    <row r="208" spans="4:6" ht="12.75">
      <c r="D208" s="23"/>
      <c r="E208" s="9"/>
      <c r="F208" s="54"/>
    </row>
    <row r="209" ht="12.75">
      <c r="D209">
        <f>SUM(D6:D208)</f>
        <v>254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2018-19: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Tim Kahle</cp:lastModifiedBy>
  <cp:lastPrinted>2019-07-18T20:53:40Z</cp:lastPrinted>
  <dcterms:created xsi:type="dcterms:W3CDTF">2003-07-29T17:52:22Z</dcterms:created>
  <dcterms:modified xsi:type="dcterms:W3CDTF">2020-03-03T16:46:38Z</dcterms:modified>
  <cp:category/>
  <cp:version/>
  <cp:contentType/>
  <cp:contentStatus/>
</cp:coreProperties>
</file>